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40" yWindow="105" windowWidth="14805" windowHeight="7875" firstSheet="7" activeTab="31"/>
  </bookViews>
  <sheets>
    <sheet name="1" sheetId="1" r:id="rId1"/>
    <sheet name="2" sheetId="5" r:id="rId2"/>
    <sheet name="3" sheetId="6" r:id="rId3"/>
    <sheet name="4" sheetId="7" r:id="rId4"/>
    <sheet name="5" sheetId="8" r:id="rId5"/>
    <sheet name="6" sheetId="9" r:id="rId6"/>
    <sheet name="7" sheetId="10" r:id="rId7"/>
    <sheet name="Sample_new (3)" sheetId="29" r:id="rId8"/>
    <sheet name="8" sheetId="11" r:id="rId9"/>
    <sheet name="9" sheetId="12" r:id="rId10"/>
    <sheet name="10" sheetId="13" r:id="rId11"/>
    <sheet name="11" sheetId="14" r:id="rId12"/>
    <sheet name="12" sheetId="15" r:id="rId13"/>
    <sheet name="13" sheetId="16" r:id="rId14"/>
    <sheet name="14" sheetId="17" r:id="rId15"/>
    <sheet name="15" sheetId="18" r:id="rId16"/>
    <sheet name="16" sheetId="19" r:id="rId17"/>
    <sheet name="17" sheetId="20" r:id="rId18"/>
    <sheet name="18" sheetId="21" r:id="rId19"/>
    <sheet name="19" sheetId="4" r:id="rId20"/>
    <sheet name="20" sheetId="23" r:id="rId21"/>
    <sheet name="21" sheetId="24" r:id="rId22"/>
    <sheet name="22" sheetId="25" r:id="rId23"/>
    <sheet name="23" sheetId="27" r:id="rId24"/>
    <sheet name="24" sheetId="28" r:id="rId25"/>
    <sheet name="25" sheetId="30" r:id="rId26"/>
    <sheet name="26" sheetId="31" r:id="rId27"/>
    <sheet name="27" sheetId="32" r:id="rId28"/>
    <sheet name="28" sheetId="33" r:id="rId29"/>
    <sheet name="29" sheetId="34" r:id="rId30"/>
    <sheet name="30" sheetId="35" r:id="rId31"/>
    <sheet name="31" sheetId="36" r:id="rId32"/>
    <sheet name="Asoj1" sheetId="37" r:id="rId33"/>
    <sheet name="Sheet3" sheetId="3" r:id="rId34"/>
    <sheet name="Sample_new (2)" sheetId="22" r:id="rId35"/>
  </sheets>
  <externalReferences>
    <externalReference r:id="rId36"/>
    <externalReference r:id="rId37"/>
    <externalReference r:id="rId38"/>
  </externalReferences>
  <definedNames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1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2">#REF!</definedName>
    <definedName name="IPP" localSheetId="30">#REF!</definedName>
    <definedName name="IPP" localSheetId="31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8">#REF!</definedName>
    <definedName name="IPP" localSheetId="9">#REF!</definedName>
    <definedName name="IPP" localSheetId="32">#REF!</definedName>
    <definedName name="IPP" localSheetId="34">#REF!</definedName>
    <definedName name="IPP" localSheetId="7">#REF!</definedName>
    <definedName name="IPP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1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2">#REF!</definedName>
    <definedName name="ippp" localSheetId="30">#REF!</definedName>
    <definedName name="ippp" localSheetId="31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8">#REF!</definedName>
    <definedName name="ippp" localSheetId="9">#REF!</definedName>
    <definedName name="ippp" localSheetId="32">#REF!</definedName>
    <definedName name="ippp" localSheetId="34">#REF!</definedName>
    <definedName name="ippp" localSheetId="7">#REF!</definedName>
    <definedName name="ippp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1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2">#REF!</definedName>
    <definedName name="sdasdf" localSheetId="30">#REF!</definedName>
    <definedName name="sdasdf" localSheetId="31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8">#REF!</definedName>
    <definedName name="sdasdf" localSheetId="9">#REF!</definedName>
    <definedName name="sdasdf" localSheetId="32">#REF!</definedName>
    <definedName name="sdasdf" localSheetId="34">#REF!</definedName>
    <definedName name="sdasdf" localSheetId="7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F261" i="37" l="1"/>
  <c r="AE261" i="37"/>
  <c r="AD261" i="37"/>
  <c r="AC261" i="37"/>
  <c r="AB261" i="37"/>
  <c r="AA261" i="37"/>
  <c r="Z261" i="37"/>
  <c r="Y261" i="37"/>
  <c r="X261" i="37"/>
  <c r="W261" i="37"/>
  <c r="V261" i="37"/>
  <c r="U261" i="37"/>
  <c r="T261" i="37"/>
  <c r="S261" i="37"/>
  <c r="R261" i="37"/>
  <c r="Q261" i="37"/>
  <c r="P261" i="37"/>
  <c r="O261" i="37"/>
  <c r="N261" i="37"/>
  <c r="M261" i="37"/>
  <c r="L261" i="37"/>
  <c r="K261" i="37"/>
  <c r="J261" i="37"/>
  <c r="I261" i="37"/>
  <c r="H261" i="37"/>
  <c r="G261" i="37"/>
  <c r="F261" i="37"/>
  <c r="E261" i="37"/>
  <c r="D261" i="37"/>
  <c r="C261" i="37"/>
  <c r="B261" i="37"/>
  <c r="A261" i="37"/>
  <c r="AF260" i="37"/>
  <c r="AE260" i="37"/>
  <c r="AD260" i="37"/>
  <c r="AC260" i="37"/>
  <c r="AB260" i="37"/>
  <c r="AA260" i="37"/>
  <c r="Z260" i="37"/>
  <c r="Y260" i="37"/>
  <c r="X260" i="37"/>
  <c r="W260" i="37"/>
  <c r="V260" i="37"/>
  <c r="U260" i="37"/>
  <c r="T260" i="37"/>
  <c r="S260" i="37"/>
  <c r="R260" i="37"/>
  <c r="Q260" i="37"/>
  <c r="P260" i="37"/>
  <c r="O260" i="37"/>
  <c r="N260" i="37"/>
  <c r="M260" i="37"/>
  <c r="L260" i="37"/>
  <c r="K260" i="37"/>
  <c r="J260" i="37"/>
  <c r="I260" i="37"/>
  <c r="H260" i="37"/>
  <c r="G260" i="37"/>
  <c r="F260" i="37"/>
  <c r="E260" i="37"/>
  <c r="D260" i="37"/>
  <c r="C260" i="37"/>
  <c r="B260" i="37"/>
  <c r="A260" i="37"/>
  <c r="AF259" i="37"/>
  <c r="AE259" i="37"/>
  <c r="AD259" i="37"/>
  <c r="AC259" i="37"/>
  <c r="AB259" i="37"/>
  <c r="AA259" i="37"/>
  <c r="Z259" i="37"/>
  <c r="Y259" i="37"/>
  <c r="X259" i="37"/>
  <c r="W259" i="37"/>
  <c r="V259" i="37"/>
  <c r="U259" i="37"/>
  <c r="T259" i="37"/>
  <c r="S259" i="37"/>
  <c r="R259" i="37"/>
  <c r="Q259" i="37"/>
  <c r="P259" i="37"/>
  <c r="O259" i="37"/>
  <c r="N259" i="37"/>
  <c r="M259" i="37"/>
  <c r="L259" i="37"/>
  <c r="K259" i="37"/>
  <c r="J259" i="37"/>
  <c r="I259" i="37"/>
  <c r="H259" i="37"/>
  <c r="G259" i="37"/>
  <c r="F259" i="37"/>
  <c r="E259" i="37"/>
  <c r="D259" i="37"/>
  <c r="C259" i="37"/>
  <c r="B259" i="37"/>
  <c r="A259" i="37"/>
  <c r="AF258" i="37"/>
  <c r="AE258" i="37"/>
  <c r="AD258" i="37"/>
  <c r="AC258" i="37"/>
  <c r="AB258" i="37"/>
  <c r="AA258" i="37"/>
  <c r="Z258" i="37"/>
  <c r="Y258" i="37"/>
  <c r="X258" i="37"/>
  <c r="W258" i="37"/>
  <c r="V258" i="37"/>
  <c r="U258" i="37"/>
  <c r="T258" i="37"/>
  <c r="S258" i="37"/>
  <c r="R258" i="37"/>
  <c r="Q258" i="37"/>
  <c r="P258" i="37"/>
  <c r="O258" i="37"/>
  <c r="N258" i="37"/>
  <c r="M258" i="37"/>
  <c r="L258" i="37"/>
  <c r="K258" i="37"/>
  <c r="J258" i="37"/>
  <c r="I258" i="37"/>
  <c r="H258" i="37"/>
  <c r="G258" i="37"/>
  <c r="F258" i="37"/>
  <c r="E258" i="37"/>
  <c r="D258" i="37"/>
  <c r="C258" i="37"/>
  <c r="B258" i="37"/>
  <c r="A258" i="37"/>
  <c r="AE257" i="37"/>
  <c r="AD257" i="37"/>
  <c r="AC257" i="37"/>
  <c r="AB257" i="37"/>
  <c r="AA257" i="37"/>
  <c r="Z257" i="37"/>
  <c r="Y257" i="37"/>
  <c r="X257" i="37"/>
  <c r="W257" i="37"/>
  <c r="V257" i="37"/>
  <c r="U257" i="37"/>
  <c r="T257" i="37"/>
  <c r="S257" i="37"/>
  <c r="R257" i="37"/>
  <c r="Q257" i="37"/>
  <c r="P257" i="37"/>
  <c r="E257" i="37"/>
  <c r="D257" i="37"/>
  <c r="C257" i="37"/>
  <c r="B257" i="37"/>
  <c r="S232" i="37"/>
  <c r="AG222" i="37"/>
  <c r="AG55" i="37" s="1"/>
  <c r="AG56" i="37" s="1"/>
  <c r="AG3" i="37" s="1"/>
  <c r="AF222" i="37"/>
  <c r="AE222" i="37"/>
  <c r="AD222" i="37"/>
  <c r="AC222" i="37"/>
  <c r="AB222" i="37"/>
  <c r="AA222" i="37"/>
  <c r="Z222" i="37"/>
  <c r="Y222" i="37"/>
  <c r="X222" i="37"/>
  <c r="W222" i="37"/>
  <c r="V222" i="37"/>
  <c r="U222" i="37"/>
  <c r="T222" i="37"/>
  <c r="S222" i="37"/>
  <c r="R222" i="37"/>
  <c r="Q222" i="37"/>
  <c r="C222" i="37"/>
  <c r="F221" i="37"/>
  <c r="G221" i="37" s="1"/>
  <c r="E221" i="37"/>
  <c r="D221" i="37"/>
  <c r="B221" i="37"/>
  <c r="AF257" i="37" s="1"/>
  <c r="D220" i="37"/>
  <c r="E220" i="37" s="1"/>
  <c r="F220" i="37" s="1"/>
  <c r="G220" i="37" s="1"/>
  <c r="H220" i="37" s="1"/>
  <c r="I220" i="37" s="1"/>
  <c r="J220" i="37" s="1"/>
  <c r="K220" i="37" s="1"/>
  <c r="L220" i="37" s="1"/>
  <c r="M220" i="37" s="1"/>
  <c r="N220" i="37" s="1"/>
  <c r="O220" i="37" s="1"/>
  <c r="P220" i="37" s="1"/>
  <c r="B220" i="37"/>
  <c r="D219" i="37"/>
  <c r="D222" i="37" s="1"/>
  <c r="B219" i="37"/>
  <c r="E218" i="37"/>
  <c r="F218" i="37" s="1"/>
  <c r="G218" i="37" s="1"/>
  <c r="H218" i="37" s="1"/>
  <c r="I218" i="37" s="1"/>
  <c r="J218" i="37" s="1"/>
  <c r="K218" i="37" s="1"/>
  <c r="L218" i="37" s="1"/>
  <c r="M218" i="37" s="1"/>
  <c r="N218" i="37" s="1"/>
  <c r="O218" i="37" s="1"/>
  <c r="P218" i="37" s="1"/>
  <c r="D218" i="37"/>
  <c r="B218" i="37"/>
  <c r="F217" i="37"/>
  <c r="G217" i="37" s="1"/>
  <c r="H217" i="37" s="1"/>
  <c r="I217" i="37" s="1"/>
  <c r="J217" i="37" s="1"/>
  <c r="K217" i="37" s="1"/>
  <c r="L217" i="37" s="1"/>
  <c r="M217" i="37" s="1"/>
  <c r="N217" i="37" s="1"/>
  <c r="O217" i="37" s="1"/>
  <c r="P217" i="37" s="1"/>
  <c r="E217" i="37"/>
  <c r="D217" i="37"/>
  <c r="B217" i="37"/>
  <c r="D216" i="37"/>
  <c r="E216" i="37" s="1"/>
  <c r="B216" i="37"/>
  <c r="B222" i="37" s="1"/>
  <c r="AG214" i="37"/>
  <c r="AF214" i="37"/>
  <c r="AE214" i="37"/>
  <c r="AD214" i="37"/>
  <c r="AC214" i="37"/>
  <c r="AB214" i="37"/>
  <c r="AA214" i="37"/>
  <c r="Z214" i="37"/>
  <c r="Y214" i="37"/>
  <c r="X214" i="37"/>
  <c r="W214" i="37"/>
  <c r="V214" i="37"/>
  <c r="U214" i="37"/>
  <c r="T214" i="37"/>
  <c r="S214" i="37"/>
  <c r="R214" i="37"/>
  <c r="Q214" i="37"/>
  <c r="P214" i="37"/>
  <c r="O214" i="37"/>
  <c r="N214" i="37"/>
  <c r="M214" i="37"/>
  <c r="L214" i="37"/>
  <c r="K214" i="37"/>
  <c r="J214" i="37"/>
  <c r="I214" i="37"/>
  <c r="H214" i="37"/>
  <c r="G214" i="37"/>
  <c r="F214" i="37"/>
  <c r="E214" i="37"/>
  <c r="D214" i="37"/>
  <c r="C214" i="37"/>
  <c r="B214" i="37"/>
  <c r="AH107" i="37"/>
  <c r="AI107" i="37" s="1"/>
  <c r="AH106" i="37"/>
  <c r="AI106" i="37" s="1"/>
  <c r="AH105" i="37"/>
  <c r="AI105" i="37" s="1"/>
  <c r="AH104" i="37"/>
  <c r="AI104" i="37" s="1"/>
  <c r="AH103" i="37"/>
  <c r="AI103" i="37" s="1"/>
  <c r="AH102" i="37"/>
  <c r="AI102" i="37" s="1"/>
  <c r="AH101" i="37"/>
  <c r="AI101" i="37" s="1"/>
  <c r="AH100" i="37"/>
  <c r="AI100" i="37" s="1"/>
  <c r="AH99" i="37"/>
  <c r="AI99" i="37" s="1"/>
  <c r="AF98" i="37"/>
  <c r="AE98" i="37"/>
  <c r="AD98" i="37"/>
  <c r="AC98" i="37"/>
  <c r="AB98" i="37"/>
  <c r="AA98" i="37"/>
  <c r="Z98" i="37"/>
  <c r="Y98" i="37"/>
  <c r="X98" i="37"/>
  <c r="W98" i="37"/>
  <c r="V98" i="37"/>
  <c r="U98" i="37"/>
  <c r="T98" i="37"/>
  <c r="S98" i="37"/>
  <c r="R98" i="37"/>
  <c r="Q98" i="37"/>
  <c r="D98" i="37"/>
  <c r="C98" i="37"/>
  <c r="B98" i="37"/>
  <c r="AI97" i="37"/>
  <c r="AH97" i="37"/>
  <c r="AI96" i="37"/>
  <c r="AH96" i="37"/>
  <c r="AI95" i="37"/>
  <c r="AH95" i="37"/>
  <c r="AI94" i="37"/>
  <c r="AH94" i="37"/>
  <c r="AI93" i="37"/>
  <c r="AH93" i="37"/>
  <c r="AI92" i="37"/>
  <c r="AH92" i="37"/>
  <c r="AI91" i="37"/>
  <c r="AH91" i="37"/>
  <c r="AI90" i="37"/>
  <c r="AH90" i="37"/>
  <c r="AI89" i="37"/>
  <c r="AH89" i="37"/>
  <c r="AB87" i="37"/>
  <c r="T87" i="37"/>
  <c r="L87" i="37"/>
  <c r="AI86" i="37"/>
  <c r="AH86" i="37"/>
  <c r="AF85" i="37"/>
  <c r="AE85" i="37"/>
  <c r="AE87" i="37" s="1"/>
  <c r="AD85" i="37"/>
  <c r="AC85" i="37"/>
  <c r="AB85" i="37"/>
  <c r="AA85" i="37"/>
  <c r="Z85" i="37"/>
  <c r="Y85" i="37"/>
  <c r="X85" i="37"/>
  <c r="W85" i="37"/>
  <c r="W87" i="37" s="1"/>
  <c r="V85" i="37"/>
  <c r="U85" i="37"/>
  <c r="T85" i="37"/>
  <c r="S85" i="37"/>
  <c r="R85" i="37"/>
  <c r="Q85" i="37"/>
  <c r="P85" i="37"/>
  <c r="O85" i="37"/>
  <c r="O87" i="37" s="1"/>
  <c r="N85" i="37"/>
  <c r="M85" i="37"/>
  <c r="L85" i="37"/>
  <c r="K85" i="37"/>
  <c r="J85" i="37"/>
  <c r="I85" i="37"/>
  <c r="H85" i="37"/>
  <c r="G85" i="37"/>
  <c r="G87" i="37" s="1"/>
  <c r="F85" i="37"/>
  <c r="E85" i="37"/>
  <c r="D85" i="37"/>
  <c r="C85" i="37"/>
  <c r="B85" i="37"/>
  <c r="AF84" i="37"/>
  <c r="AE84" i="37"/>
  <c r="AD84" i="37"/>
  <c r="AC84" i="37"/>
  <c r="AB84" i="37"/>
  <c r="AA84" i="37"/>
  <c r="Z84" i="37"/>
  <c r="Y84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D84" i="37"/>
  <c r="C84" i="37"/>
  <c r="B84" i="37"/>
  <c r="AF83" i="37"/>
  <c r="AE83" i="37"/>
  <c r="AD83" i="37"/>
  <c r="AC83" i="37"/>
  <c r="AB83" i="37"/>
  <c r="AA83" i="37"/>
  <c r="Z83" i="37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AF82" i="37"/>
  <c r="AE82" i="37"/>
  <c r="AD82" i="37"/>
  <c r="AC82" i="37"/>
  <c r="AB82" i="37"/>
  <c r="AA82" i="37"/>
  <c r="Z82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AI82" i="37" s="1"/>
  <c r="AF81" i="37"/>
  <c r="AF87" i="37" s="1"/>
  <c r="AE81" i="37"/>
  <c r="AD81" i="37"/>
  <c r="AD87" i="37" s="1"/>
  <c r="AC81" i="37"/>
  <c r="AC87" i="37" s="1"/>
  <c r="AB81" i="37"/>
  <c r="AA81" i="37"/>
  <c r="AA87" i="37" s="1"/>
  <c r="AA88" i="37" s="1"/>
  <c r="Z81" i="37"/>
  <c r="Z87" i="37" s="1"/>
  <c r="Y81" i="37"/>
  <c r="Y87" i="37" s="1"/>
  <c r="X81" i="37"/>
  <c r="X87" i="37" s="1"/>
  <c r="W81" i="37"/>
  <c r="V81" i="37"/>
  <c r="V87" i="37" s="1"/>
  <c r="U81" i="37"/>
  <c r="U87" i="37" s="1"/>
  <c r="T81" i="37"/>
  <c r="S81" i="37"/>
  <c r="S87" i="37" s="1"/>
  <c r="S88" i="37" s="1"/>
  <c r="R81" i="37"/>
  <c r="R87" i="37" s="1"/>
  <c r="Q81" i="37"/>
  <c r="Q87" i="37" s="1"/>
  <c r="P81" i="37"/>
  <c r="P87" i="37" s="1"/>
  <c r="O81" i="37"/>
  <c r="N81" i="37"/>
  <c r="N87" i="37" s="1"/>
  <c r="M81" i="37"/>
  <c r="M87" i="37" s="1"/>
  <c r="L81" i="37"/>
  <c r="K81" i="37"/>
  <c r="K87" i="37" s="1"/>
  <c r="K88" i="37" s="1"/>
  <c r="J81" i="37"/>
  <c r="J87" i="37" s="1"/>
  <c r="I81" i="37"/>
  <c r="I87" i="37" s="1"/>
  <c r="H81" i="37"/>
  <c r="H87" i="37" s="1"/>
  <c r="G81" i="37"/>
  <c r="F81" i="37"/>
  <c r="F87" i="37" s="1"/>
  <c r="E81" i="37"/>
  <c r="E87" i="37" s="1"/>
  <c r="D81" i="37"/>
  <c r="C81" i="37"/>
  <c r="B81" i="37"/>
  <c r="AI78" i="37"/>
  <c r="AH78" i="37"/>
  <c r="AI76" i="37"/>
  <c r="AH76" i="37"/>
  <c r="AG76" i="37"/>
  <c r="AG79" i="37" s="1"/>
  <c r="AI75" i="37"/>
  <c r="AH75" i="37"/>
  <c r="AI74" i="37"/>
  <c r="AH74" i="37"/>
  <c r="AI73" i="37"/>
  <c r="AH73" i="37"/>
  <c r="AG72" i="37"/>
  <c r="AF72" i="37"/>
  <c r="AF88" i="37" s="1"/>
  <c r="AE72" i="37"/>
  <c r="AE88" i="37" s="1"/>
  <c r="AD72" i="37"/>
  <c r="AC72" i="37"/>
  <c r="AB72" i="37"/>
  <c r="AA5" i="37" s="1"/>
  <c r="AA72" i="37"/>
  <c r="Z72" i="37"/>
  <c r="Z88" i="37" s="1"/>
  <c r="Y72" i="37"/>
  <c r="Y88" i="37" s="1"/>
  <c r="X72" i="37"/>
  <c r="X88" i="37" s="1"/>
  <c r="W72" i="37"/>
  <c r="W88" i="37" s="1"/>
  <c r="V72" i="37"/>
  <c r="U72" i="37"/>
  <c r="T72" i="37"/>
  <c r="S5" i="37" s="1"/>
  <c r="S72" i="37"/>
  <c r="R72" i="37"/>
  <c r="R88" i="37" s="1"/>
  <c r="Q72" i="37"/>
  <c r="Q88" i="37" s="1"/>
  <c r="P72" i="37"/>
  <c r="P88" i="37" s="1"/>
  <c r="O72" i="37"/>
  <c r="O88" i="37" s="1"/>
  <c r="N72" i="37"/>
  <c r="M72" i="37"/>
  <c r="L72" i="37"/>
  <c r="K5" i="37" s="1"/>
  <c r="K72" i="37"/>
  <c r="J72" i="37"/>
  <c r="J88" i="37" s="1"/>
  <c r="I72" i="37"/>
  <c r="I88" i="37" s="1"/>
  <c r="H72" i="37"/>
  <c r="H88" i="37" s="1"/>
  <c r="G72" i="37"/>
  <c r="G88" i="37" s="1"/>
  <c r="F72" i="37"/>
  <c r="E72" i="37"/>
  <c r="D72" i="37"/>
  <c r="C5" i="37" s="1"/>
  <c r="C72" i="37"/>
  <c r="B5" i="37" s="1"/>
  <c r="B72" i="37"/>
  <c r="AF5" i="37" s="1"/>
  <c r="AI71" i="37"/>
  <c r="AH71" i="37"/>
  <c r="AI70" i="37"/>
  <c r="AH70" i="37"/>
  <c r="AI69" i="37"/>
  <c r="AH69" i="37"/>
  <c r="AI68" i="37"/>
  <c r="AH68" i="37"/>
  <c r="AI67" i="37"/>
  <c r="AH67" i="37"/>
  <c r="AI66" i="37"/>
  <c r="AH66" i="37"/>
  <c r="AI65" i="37"/>
  <c r="AH65" i="37"/>
  <c r="AI64" i="37"/>
  <c r="AH64" i="37"/>
  <c r="AI63" i="37"/>
  <c r="AH63" i="37"/>
  <c r="AI62" i="37"/>
  <c r="AH62" i="37"/>
  <c r="AI61" i="37"/>
  <c r="AH61" i="37"/>
  <c r="AG60" i="37"/>
  <c r="AF60" i="37"/>
  <c r="AE60" i="37"/>
  <c r="AD60" i="37"/>
  <c r="AC60" i="37"/>
  <c r="AB60" i="37"/>
  <c r="AA60" i="37"/>
  <c r="Z60" i="37"/>
  <c r="Y60" i="37"/>
  <c r="X60" i="37"/>
  <c r="W60" i="37"/>
  <c r="V60" i="37"/>
  <c r="U60" i="37"/>
  <c r="T60" i="37"/>
  <c r="S60" i="37"/>
  <c r="R60" i="37"/>
  <c r="Q60" i="37"/>
  <c r="P60" i="37"/>
  <c r="O60" i="37"/>
  <c r="N60" i="37"/>
  <c r="M60" i="37"/>
  <c r="L60" i="37"/>
  <c r="K60" i="37"/>
  <c r="J60" i="37"/>
  <c r="I60" i="37"/>
  <c r="H60" i="37"/>
  <c r="G60" i="37"/>
  <c r="F60" i="37"/>
  <c r="E60" i="37"/>
  <c r="D60" i="37"/>
  <c r="C60" i="37"/>
  <c r="B60" i="37"/>
  <c r="AI60" i="37" s="1"/>
  <c r="AI59" i="37"/>
  <c r="AH59" i="37"/>
  <c r="AI58" i="37"/>
  <c r="AH58" i="37"/>
  <c r="AI57" i="37"/>
  <c r="AH57" i="37"/>
  <c r="AF56" i="37"/>
  <c r="AE56" i="37"/>
  <c r="AD56" i="37"/>
  <c r="AC56" i="37"/>
  <c r="AB56" i="37"/>
  <c r="AA56" i="37"/>
  <c r="Z56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AI55" i="37"/>
  <c r="AH55" i="37"/>
  <c r="AI54" i="37"/>
  <c r="AH54" i="37"/>
  <c r="AI53" i="37"/>
  <c r="AH53" i="37"/>
  <c r="AI52" i="37"/>
  <c r="AH52" i="37"/>
  <c r="AI51" i="37"/>
  <c r="AH51" i="37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G42" i="37"/>
  <c r="AF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B42" i="37"/>
  <c r="AI41" i="37"/>
  <c r="AH41" i="37"/>
  <c r="AI40" i="37"/>
  <c r="AH40" i="37"/>
  <c r="AI39" i="37"/>
  <c r="AH39" i="37"/>
  <c r="AG38" i="37"/>
  <c r="AG2" i="37" s="1"/>
  <c r="AG6" i="37" s="1"/>
  <c r="AF38" i="37"/>
  <c r="AF77" i="37" s="1"/>
  <c r="AF79" i="37" s="1"/>
  <c r="AE38" i="37"/>
  <c r="AE77" i="37" s="1"/>
  <c r="AE79" i="37" s="1"/>
  <c r="AD38" i="37"/>
  <c r="AD77" i="37" s="1"/>
  <c r="AD79" i="37" s="1"/>
  <c r="AC38" i="37"/>
  <c r="AC77" i="37" s="1"/>
  <c r="AC79" i="37" s="1"/>
  <c r="AB38" i="37"/>
  <c r="AB77" i="37" s="1"/>
  <c r="AB79" i="37" s="1"/>
  <c r="AA38" i="37"/>
  <c r="AA77" i="37" s="1"/>
  <c r="AA79" i="37" s="1"/>
  <c r="Z38" i="37"/>
  <c r="Z77" i="37" s="1"/>
  <c r="Z79" i="37" s="1"/>
  <c r="Y38" i="37"/>
  <c r="Y77" i="37" s="1"/>
  <c r="Y79" i="37" s="1"/>
  <c r="X38" i="37"/>
  <c r="X77" i="37" s="1"/>
  <c r="X79" i="37" s="1"/>
  <c r="W38" i="37"/>
  <c r="W77" i="37" s="1"/>
  <c r="W79" i="37" s="1"/>
  <c r="V38" i="37"/>
  <c r="V77" i="37" s="1"/>
  <c r="V79" i="37" s="1"/>
  <c r="U38" i="37"/>
  <c r="U77" i="37" s="1"/>
  <c r="U79" i="37" s="1"/>
  <c r="T38" i="37"/>
  <c r="T77" i="37" s="1"/>
  <c r="T79" i="37" s="1"/>
  <c r="S38" i="37"/>
  <c r="S77" i="37" s="1"/>
  <c r="S79" i="37" s="1"/>
  <c r="R38" i="37"/>
  <c r="R77" i="37" s="1"/>
  <c r="R79" i="37" s="1"/>
  <c r="Q38" i="37"/>
  <c r="Q77" i="37" s="1"/>
  <c r="Q79" i="37" s="1"/>
  <c r="P38" i="37"/>
  <c r="P77" i="37" s="1"/>
  <c r="P79" i="37" s="1"/>
  <c r="O38" i="37"/>
  <c r="O77" i="37" s="1"/>
  <c r="O79" i="37" s="1"/>
  <c r="N38" i="37"/>
  <c r="N77" i="37" s="1"/>
  <c r="N79" i="37" s="1"/>
  <c r="M38" i="37"/>
  <c r="M77" i="37" s="1"/>
  <c r="M79" i="37" s="1"/>
  <c r="L38" i="37"/>
  <c r="L77" i="37" s="1"/>
  <c r="L79" i="37" s="1"/>
  <c r="K38" i="37"/>
  <c r="K77" i="37" s="1"/>
  <c r="K79" i="37" s="1"/>
  <c r="J38" i="37"/>
  <c r="J77" i="37" s="1"/>
  <c r="J79" i="37" s="1"/>
  <c r="I38" i="37"/>
  <c r="I77" i="37" s="1"/>
  <c r="I79" i="37" s="1"/>
  <c r="H38" i="37"/>
  <c r="H77" i="37" s="1"/>
  <c r="H79" i="37" s="1"/>
  <c r="G38" i="37"/>
  <c r="G77" i="37" s="1"/>
  <c r="G79" i="37" s="1"/>
  <c r="F38" i="37"/>
  <c r="F77" i="37" s="1"/>
  <c r="F79" i="37" s="1"/>
  <c r="E38" i="37"/>
  <c r="E77" i="37" s="1"/>
  <c r="E79" i="37" s="1"/>
  <c r="D38" i="37"/>
  <c r="C38" i="37"/>
  <c r="B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E5" i="37"/>
  <c r="AD5" i="37"/>
  <c r="AC5" i="37"/>
  <c r="AB5" i="37"/>
  <c r="Z5" i="37"/>
  <c r="Y5" i="37"/>
  <c r="X5" i="37"/>
  <c r="W5" i="37"/>
  <c r="V5" i="37"/>
  <c r="U5" i="37"/>
  <c r="T5" i="37"/>
  <c r="R5" i="37"/>
  <c r="Q5" i="37"/>
  <c r="P5" i="37"/>
  <c r="O5" i="37"/>
  <c r="N5" i="37"/>
  <c r="M5" i="37"/>
  <c r="L5" i="37"/>
  <c r="J5" i="37"/>
  <c r="I5" i="37"/>
  <c r="H5" i="37"/>
  <c r="G5" i="37"/>
  <c r="F5" i="37"/>
  <c r="E5" i="37"/>
  <c r="D5" i="37"/>
  <c r="AG4" i="37"/>
  <c r="K4" i="37"/>
  <c r="B4" i="37"/>
  <c r="S233" i="37" s="1"/>
  <c r="AB101" i="36"/>
  <c r="AA101" i="36"/>
  <c r="Z101" i="36"/>
  <c r="Y101" i="36"/>
  <c r="Y37" i="36"/>
  <c r="X101" i="36"/>
  <c r="X37" i="36"/>
  <c r="W101" i="36"/>
  <c r="U37" i="36"/>
  <c r="V37" i="36"/>
  <c r="W37" i="36"/>
  <c r="V101" i="36"/>
  <c r="T101" i="36"/>
  <c r="T37" i="36"/>
  <c r="R37" i="36"/>
  <c r="E4" i="37"/>
  <c r="D87" i="37" l="1"/>
  <c r="AI81" i="37"/>
  <c r="AI84" i="37"/>
  <c r="AI83" i="37"/>
  <c r="AI56" i="37"/>
  <c r="D77" i="37"/>
  <c r="D79" i="37" s="1"/>
  <c r="D80" i="37" s="1"/>
  <c r="AI85" i="37"/>
  <c r="C87" i="37"/>
  <c r="C88" i="37" s="1"/>
  <c r="C77" i="37"/>
  <c r="C79" i="37" s="1"/>
  <c r="C80" i="37" s="1"/>
  <c r="AI42" i="37"/>
  <c r="AI38" i="37"/>
  <c r="AH83" i="37"/>
  <c r="H4" i="37"/>
  <c r="AC236" i="37"/>
  <c r="K7" i="37"/>
  <c r="K80" i="37"/>
  <c r="F257" i="37"/>
  <c r="H221" i="37"/>
  <c r="L80" i="37"/>
  <c r="L7" i="37"/>
  <c r="AD236" i="37"/>
  <c r="AL236" i="37"/>
  <c r="T80" i="37"/>
  <c r="T7" i="37"/>
  <c r="AB80" i="37"/>
  <c r="AB7" i="37"/>
  <c r="AT236" i="37"/>
  <c r="F216" i="37"/>
  <c r="E98" i="37"/>
  <c r="E80" i="37"/>
  <c r="W236" i="37"/>
  <c r="E7" i="37"/>
  <c r="M80" i="37"/>
  <c r="AE236" i="37"/>
  <c r="M7" i="37"/>
  <c r="U80" i="37"/>
  <c r="AM236" i="37"/>
  <c r="U7" i="37"/>
  <c r="AC80" i="37"/>
  <c r="AU236" i="37"/>
  <c r="AC7" i="37"/>
  <c r="AA80" i="37"/>
  <c r="AS236" i="37"/>
  <c r="AA7" i="37"/>
  <c r="F80" i="37"/>
  <c r="X236" i="37"/>
  <c r="F7" i="37"/>
  <c r="N80" i="37"/>
  <c r="N7" i="37"/>
  <c r="AF236" i="37"/>
  <c r="V80" i="37"/>
  <c r="AN236" i="37"/>
  <c r="V7" i="37"/>
  <c r="AD80" i="37"/>
  <c r="AV236" i="37"/>
  <c r="AD7" i="37"/>
  <c r="Y236" i="37"/>
  <c r="C231" i="37"/>
  <c r="B231" i="37"/>
  <c r="K6" i="37" s="1"/>
  <c r="G7" i="37"/>
  <c r="G80" i="37"/>
  <c r="AG236" i="37"/>
  <c r="O7" i="37"/>
  <c r="O80" i="37"/>
  <c r="AO236" i="37"/>
  <c r="W7" i="37"/>
  <c r="W80" i="37"/>
  <c r="AW236" i="37"/>
  <c r="AE7" i="37"/>
  <c r="AE80" i="37"/>
  <c r="H7" i="37"/>
  <c r="H80" i="37"/>
  <c r="Z236" i="37"/>
  <c r="P7" i="37"/>
  <c r="P80" i="37"/>
  <c r="AH236" i="37"/>
  <c r="X7" i="37"/>
  <c r="X80" i="37"/>
  <c r="AP236" i="37"/>
  <c r="AF7" i="37"/>
  <c r="AF80" i="37"/>
  <c r="AX236" i="37"/>
  <c r="E88" i="37"/>
  <c r="M88" i="37"/>
  <c r="U88" i="37"/>
  <c r="AC88" i="37"/>
  <c r="I7" i="37"/>
  <c r="I80" i="37"/>
  <c r="AA236" i="37"/>
  <c r="Q7" i="37"/>
  <c r="Q80" i="37"/>
  <c r="AI236" i="37"/>
  <c r="Y7" i="37"/>
  <c r="Y80" i="37"/>
  <c r="AQ236" i="37"/>
  <c r="F88" i="37"/>
  <c r="N88" i="37"/>
  <c r="V88" i="37"/>
  <c r="AD88" i="37"/>
  <c r="AK236" i="37"/>
  <c r="S7" i="37"/>
  <c r="S80" i="37"/>
  <c r="J80" i="37"/>
  <c r="AB236" i="37"/>
  <c r="J7" i="37"/>
  <c r="R80" i="37"/>
  <c r="AJ236" i="37"/>
  <c r="R7" i="37"/>
  <c r="Z80" i="37"/>
  <c r="AR236" i="37"/>
  <c r="Z7" i="37"/>
  <c r="D233" i="37"/>
  <c r="AH56" i="37"/>
  <c r="AH60" i="37"/>
  <c r="AH72" i="37"/>
  <c r="AH81" i="37"/>
  <c r="B87" i="37"/>
  <c r="B88" i="37" s="1"/>
  <c r="AI72" i="37"/>
  <c r="AH82" i="37"/>
  <c r="AG77" i="37"/>
  <c r="AH38" i="37"/>
  <c r="AH42" i="37"/>
  <c r="B77" i="37"/>
  <c r="AH84" i="37"/>
  <c r="D88" i="37"/>
  <c r="L88" i="37"/>
  <c r="T88" i="37"/>
  <c r="AB88" i="37"/>
  <c r="E219" i="37"/>
  <c r="F219" i="37" s="1"/>
  <c r="G219" i="37" s="1"/>
  <c r="H219" i="37" s="1"/>
  <c r="I219" i="37" s="1"/>
  <c r="J219" i="37" s="1"/>
  <c r="K219" i="37" s="1"/>
  <c r="L219" i="37" s="1"/>
  <c r="M219" i="37" s="1"/>
  <c r="N219" i="37" s="1"/>
  <c r="O219" i="37" s="1"/>
  <c r="P219" i="37" s="1"/>
  <c r="AH85" i="37"/>
  <c r="V236" i="37" l="1"/>
  <c r="D7" i="37"/>
  <c r="U236" i="37"/>
  <c r="C7" i="37"/>
  <c r="AI88" i="37"/>
  <c r="AH88" i="37"/>
  <c r="E222" i="37"/>
  <c r="G257" i="37"/>
  <c r="I221" i="37"/>
  <c r="AI77" i="37"/>
  <c r="AH77" i="37"/>
  <c r="B79" i="37"/>
  <c r="G216" i="37"/>
  <c r="F98" i="37"/>
  <c r="F222" i="37"/>
  <c r="AI87" i="37"/>
  <c r="AH87" i="37"/>
  <c r="H257" i="37" l="1"/>
  <c r="J221" i="37"/>
  <c r="H216" i="37"/>
  <c r="G98" i="37"/>
  <c r="G222" i="37"/>
  <c r="B80" i="37"/>
  <c r="AH80" i="37" s="1"/>
  <c r="T236" i="37"/>
  <c r="AI79" i="37"/>
  <c r="AH79" i="37"/>
  <c r="B7" i="37"/>
  <c r="A7" i="37" s="1"/>
  <c r="I216" i="37" l="1"/>
  <c r="H222" i="37"/>
  <c r="H98" i="37"/>
  <c r="K221" i="37"/>
  <c r="I257" i="37"/>
  <c r="J257" i="37" l="1"/>
  <c r="L221" i="37"/>
  <c r="I98" i="37"/>
  <c r="I222" i="37"/>
  <c r="J216" i="37"/>
  <c r="J98" i="37" l="1"/>
  <c r="J222" i="37"/>
  <c r="K216" i="37"/>
  <c r="K257" i="37"/>
  <c r="M221" i="37"/>
  <c r="K98" i="37" l="1"/>
  <c r="K222" i="37"/>
  <c r="L216" i="37"/>
  <c r="L257" i="37"/>
  <c r="N221" i="37"/>
  <c r="O221" i="37" l="1"/>
  <c r="M257" i="37"/>
  <c r="L222" i="37"/>
  <c r="M216" i="37"/>
  <c r="L98" i="37"/>
  <c r="M98" i="37" l="1"/>
  <c r="M222" i="37"/>
  <c r="N216" i="37"/>
  <c r="N257" i="37"/>
  <c r="P221" i="37"/>
  <c r="O257" i="37" s="1"/>
  <c r="O216" i="37" l="1"/>
  <c r="N98" i="37"/>
  <c r="N222" i="37"/>
  <c r="P216" i="37" l="1"/>
  <c r="O98" i="37"/>
  <c r="O222" i="37"/>
  <c r="P222" i="37" l="1"/>
  <c r="P98" i="37"/>
  <c r="AI98" i="37" l="1"/>
  <c r="AH98" i="37"/>
  <c r="Q101" i="36" l="1"/>
  <c r="Q63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AH37" i="36" s="1"/>
  <c r="E37" i="36"/>
  <c r="D101" i="36"/>
  <c r="AH101" i="36" s="1"/>
  <c r="AI101" i="36" s="1"/>
  <c r="C101" i="36"/>
  <c r="B101" i="36"/>
  <c r="AF261" i="36"/>
  <c r="AE261" i="36"/>
  <c r="AD261" i="36"/>
  <c r="AC261" i="36"/>
  <c r="AB261" i="36"/>
  <c r="AA261" i="36"/>
  <c r="Z261" i="36"/>
  <c r="Y261" i="36"/>
  <c r="X261" i="36"/>
  <c r="W261" i="36"/>
  <c r="V261" i="36"/>
  <c r="U261" i="36"/>
  <c r="T261" i="36"/>
  <c r="S261" i="36"/>
  <c r="R261" i="36"/>
  <c r="Q261" i="36"/>
  <c r="P261" i="36"/>
  <c r="O261" i="36"/>
  <c r="N261" i="36"/>
  <c r="M261" i="36"/>
  <c r="L261" i="36"/>
  <c r="K261" i="36"/>
  <c r="J261" i="36"/>
  <c r="I261" i="36"/>
  <c r="H261" i="36"/>
  <c r="G261" i="36"/>
  <c r="F261" i="36"/>
  <c r="E261" i="36"/>
  <c r="D261" i="36"/>
  <c r="C261" i="36"/>
  <c r="B261" i="36"/>
  <c r="A261" i="36"/>
  <c r="AF260" i="36"/>
  <c r="AE260" i="36"/>
  <c r="AD260" i="36"/>
  <c r="AC260" i="36"/>
  <c r="AB260" i="36"/>
  <c r="AA260" i="36"/>
  <c r="Z260" i="36"/>
  <c r="Y260" i="36"/>
  <c r="X260" i="36"/>
  <c r="W260" i="36"/>
  <c r="V260" i="36"/>
  <c r="U260" i="36"/>
  <c r="T260" i="36"/>
  <c r="S260" i="36"/>
  <c r="R260" i="36"/>
  <c r="Q260" i="36"/>
  <c r="P260" i="36"/>
  <c r="O260" i="36"/>
  <c r="N260" i="36"/>
  <c r="M260" i="36"/>
  <c r="L260" i="36"/>
  <c r="K260" i="36"/>
  <c r="J260" i="36"/>
  <c r="I260" i="36"/>
  <c r="H260" i="36"/>
  <c r="G260" i="36"/>
  <c r="F260" i="36"/>
  <c r="E260" i="36"/>
  <c r="D260" i="36"/>
  <c r="C260" i="36"/>
  <c r="B260" i="36"/>
  <c r="A260" i="36"/>
  <c r="AF259" i="36"/>
  <c r="AE259" i="36"/>
  <c r="AD259" i="36"/>
  <c r="AC259" i="36"/>
  <c r="AB259" i="36"/>
  <c r="AA259" i="36"/>
  <c r="Z259" i="36"/>
  <c r="Y259" i="36"/>
  <c r="X259" i="36"/>
  <c r="W259" i="36"/>
  <c r="V259" i="36"/>
  <c r="U259" i="36"/>
  <c r="T259" i="36"/>
  <c r="S259" i="36"/>
  <c r="R259" i="36"/>
  <c r="Q259" i="36"/>
  <c r="P259" i="36"/>
  <c r="O259" i="36"/>
  <c r="N259" i="36"/>
  <c r="M259" i="36"/>
  <c r="L259" i="36"/>
  <c r="K259" i="36"/>
  <c r="J259" i="36"/>
  <c r="I259" i="36"/>
  <c r="H259" i="36"/>
  <c r="G259" i="36"/>
  <c r="F259" i="36"/>
  <c r="E259" i="36"/>
  <c r="D259" i="36"/>
  <c r="C259" i="36"/>
  <c r="B259" i="36"/>
  <c r="A259" i="36"/>
  <c r="AF258" i="36"/>
  <c r="AE258" i="36"/>
  <c r="AD258" i="36"/>
  <c r="AC258" i="36"/>
  <c r="AB258" i="36"/>
  <c r="AA258" i="36"/>
  <c r="Z258" i="36"/>
  <c r="Y258" i="36"/>
  <c r="X258" i="36"/>
  <c r="W258" i="36"/>
  <c r="V258" i="36"/>
  <c r="U258" i="36"/>
  <c r="T258" i="36"/>
  <c r="S258" i="36"/>
  <c r="R258" i="36"/>
  <c r="Q258" i="36"/>
  <c r="P258" i="36"/>
  <c r="O258" i="36"/>
  <c r="N258" i="36"/>
  <c r="M258" i="36"/>
  <c r="L258" i="36"/>
  <c r="K258" i="36"/>
  <c r="J258" i="36"/>
  <c r="I258" i="36"/>
  <c r="H258" i="36"/>
  <c r="G258" i="36"/>
  <c r="F258" i="36"/>
  <c r="E258" i="36"/>
  <c r="D258" i="36"/>
  <c r="C258" i="36"/>
  <c r="B258" i="36"/>
  <c r="A258" i="36"/>
  <c r="AE257" i="36"/>
  <c r="AD257" i="36"/>
  <c r="AC257" i="36"/>
  <c r="AB257" i="36"/>
  <c r="AA257" i="36"/>
  <c r="Z257" i="36"/>
  <c r="Y257" i="36"/>
  <c r="X257" i="36"/>
  <c r="W257" i="36"/>
  <c r="V257" i="36"/>
  <c r="U257" i="36"/>
  <c r="T257" i="36"/>
  <c r="S257" i="36"/>
  <c r="R257" i="36"/>
  <c r="Q257" i="36"/>
  <c r="P257" i="36"/>
  <c r="C257" i="36"/>
  <c r="B257" i="36"/>
  <c r="S232" i="36"/>
  <c r="AG222" i="36"/>
  <c r="AF222" i="36"/>
  <c r="AE222" i="36"/>
  <c r="AD222" i="36"/>
  <c r="AC222" i="36"/>
  <c r="AB222" i="36"/>
  <c r="AA222" i="36"/>
  <c r="Z222" i="36"/>
  <c r="Y222" i="36"/>
  <c r="X222" i="36"/>
  <c r="W222" i="36"/>
  <c r="V222" i="36"/>
  <c r="U222" i="36"/>
  <c r="T222" i="36"/>
  <c r="S222" i="36"/>
  <c r="R222" i="36"/>
  <c r="Q222" i="36"/>
  <c r="C222" i="36"/>
  <c r="E221" i="36"/>
  <c r="D221" i="36"/>
  <c r="B221" i="36"/>
  <c r="AF257" i="36" s="1"/>
  <c r="D220" i="36"/>
  <c r="E220" i="36" s="1"/>
  <c r="F220" i="36" s="1"/>
  <c r="G220" i="36" s="1"/>
  <c r="H220" i="36" s="1"/>
  <c r="I220" i="36" s="1"/>
  <c r="J220" i="36" s="1"/>
  <c r="K220" i="36" s="1"/>
  <c r="L220" i="36" s="1"/>
  <c r="M220" i="36" s="1"/>
  <c r="N220" i="36" s="1"/>
  <c r="O220" i="36" s="1"/>
  <c r="P220" i="36" s="1"/>
  <c r="B220" i="36"/>
  <c r="I219" i="36"/>
  <c r="J219" i="36" s="1"/>
  <c r="K219" i="36" s="1"/>
  <c r="L219" i="36" s="1"/>
  <c r="M219" i="36" s="1"/>
  <c r="N219" i="36" s="1"/>
  <c r="O219" i="36" s="1"/>
  <c r="P219" i="36" s="1"/>
  <c r="H219" i="36"/>
  <c r="G219" i="36"/>
  <c r="F219" i="36"/>
  <c r="E219" i="36"/>
  <c r="D219" i="36"/>
  <c r="B219" i="36"/>
  <c r="G218" i="36"/>
  <c r="H218" i="36" s="1"/>
  <c r="I218" i="36" s="1"/>
  <c r="J218" i="36" s="1"/>
  <c r="K218" i="36" s="1"/>
  <c r="L218" i="36" s="1"/>
  <c r="M218" i="36" s="1"/>
  <c r="N218" i="36" s="1"/>
  <c r="O218" i="36" s="1"/>
  <c r="P218" i="36" s="1"/>
  <c r="F218" i="36"/>
  <c r="E218" i="36"/>
  <c r="D218" i="36"/>
  <c r="B218" i="36"/>
  <c r="E217" i="36"/>
  <c r="F217" i="36" s="1"/>
  <c r="G217" i="36" s="1"/>
  <c r="H217" i="36" s="1"/>
  <c r="I217" i="36" s="1"/>
  <c r="J217" i="36" s="1"/>
  <c r="K217" i="36" s="1"/>
  <c r="L217" i="36" s="1"/>
  <c r="M217" i="36" s="1"/>
  <c r="N217" i="36" s="1"/>
  <c r="O217" i="36" s="1"/>
  <c r="P217" i="36" s="1"/>
  <c r="D217" i="36"/>
  <c r="B217" i="36"/>
  <c r="D216" i="36"/>
  <c r="D222" i="36" s="1"/>
  <c r="B216" i="36"/>
  <c r="AG214" i="36"/>
  <c r="AF214" i="36"/>
  <c r="AE214" i="36"/>
  <c r="AD214" i="36"/>
  <c r="AC214" i="36"/>
  <c r="AB214" i="36"/>
  <c r="AA214" i="36"/>
  <c r="Z214" i="36"/>
  <c r="Y214" i="36"/>
  <c r="X214" i="36"/>
  <c r="W214" i="36"/>
  <c r="V214" i="36"/>
  <c r="U214" i="36"/>
  <c r="T214" i="36"/>
  <c r="S214" i="36"/>
  <c r="R214" i="36"/>
  <c r="Q214" i="36"/>
  <c r="P214" i="36"/>
  <c r="O214" i="36"/>
  <c r="N214" i="36"/>
  <c r="M214" i="36"/>
  <c r="L214" i="36"/>
  <c r="K214" i="36"/>
  <c r="J214" i="36"/>
  <c r="I214" i="36"/>
  <c r="H214" i="36"/>
  <c r="G214" i="36"/>
  <c r="F214" i="36"/>
  <c r="E214" i="36"/>
  <c r="D214" i="36"/>
  <c r="C214" i="36"/>
  <c r="B214" i="36"/>
  <c r="AH107" i="36"/>
  <c r="AI107" i="36" s="1"/>
  <c r="AH106" i="36"/>
  <c r="AI106" i="36" s="1"/>
  <c r="AH105" i="36"/>
  <c r="AI105" i="36" s="1"/>
  <c r="AH104" i="36"/>
  <c r="AI104" i="36" s="1"/>
  <c r="AH103" i="36"/>
  <c r="AI103" i="36" s="1"/>
  <c r="AH102" i="36"/>
  <c r="AI102" i="36" s="1"/>
  <c r="AH100" i="36"/>
  <c r="AI100" i="36" s="1"/>
  <c r="AH99" i="36"/>
  <c r="AI99" i="36" s="1"/>
  <c r="AF98" i="36"/>
  <c r="AE98" i="36"/>
  <c r="AD98" i="36"/>
  <c r="AC98" i="36"/>
  <c r="AB98" i="36"/>
  <c r="AA98" i="36"/>
  <c r="Z98" i="36"/>
  <c r="Y98" i="36"/>
  <c r="X98" i="36"/>
  <c r="W98" i="36"/>
  <c r="V98" i="36"/>
  <c r="U98" i="36"/>
  <c r="T98" i="36"/>
  <c r="S98" i="36"/>
  <c r="R98" i="36"/>
  <c r="Q98" i="36"/>
  <c r="C98" i="36"/>
  <c r="AI97" i="36"/>
  <c r="AH97" i="36"/>
  <c r="AI96" i="36"/>
  <c r="AH96" i="36"/>
  <c r="AI95" i="36"/>
  <c r="AH95" i="36"/>
  <c r="AI94" i="36"/>
  <c r="AH94" i="36"/>
  <c r="AI93" i="36"/>
  <c r="AH93" i="36"/>
  <c r="AI92" i="36"/>
  <c r="AH92" i="36"/>
  <c r="AI91" i="36"/>
  <c r="AH91" i="36"/>
  <c r="AI90" i="36"/>
  <c r="AH90" i="36"/>
  <c r="AI89" i="36"/>
  <c r="AH89" i="36"/>
  <c r="AI86" i="36"/>
  <c r="AH86" i="36"/>
  <c r="AF85" i="36"/>
  <c r="AE85" i="36"/>
  <c r="AD85" i="36"/>
  <c r="AC85" i="36"/>
  <c r="AB85" i="36"/>
  <c r="AA85" i="36"/>
  <c r="Z85" i="36"/>
  <c r="Y85" i="36"/>
  <c r="X85" i="36"/>
  <c r="W85" i="36"/>
  <c r="V85" i="36"/>
  <c r="U85" i="36"/>
  <c r="T85" i="36"/>
  <c r="S85" i="36"/>
  <c r="S87" i="36" s="1"/>
  <c r="R85" i="36"/>
  <c r="Q85" i="36"/>
  <c r="Q87" i="36" s="1"/>
  <c r="P85" i="36"/>
  <c r="O85" i="36"/>
  <c r="N85" i="36"/>
  <c r="M85" i="36"/>
  <c r="L85" i="36"/>
  <c r="K85" i="36"/>
  <c r="J85" i="36"/>
  <c r="I85" i="36"/>
  <c r="H85" i="36"/>
  <c r="G85" i="36"/>
  <c r="F85" i="36"/>
  <c r="E85" i="36"/>
  <c r="D85" i="36"/>
  <c r="C85" i="36"/>
  <c r="B85" i="36"/>
  <c r="AF84" i="36"/>
  <c r="AE84" i="36"/>
  <c r="AD84" i="36"/>
  <c r="AC84" i="36"/>
  <c r="AB84" i="36"/>
  <c r="AA84" i="36"/>
  <c r="Z84" i="36"/>
  <c r="Y84" i="36"/>
  <c r="X84" i="36"/>
  <c r="W84" i="36"/>
  <c r="V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B84" i="36"/>
  <c r="AF83" i="36"/>
  <c r="AE83" i="36"/>
  <c r="AD83" i="36"/>
  <c r="AC83" i="36"/>
  <c r="AB83" i="36"/>
  <c r="AA83" i="36"/>
  <c r="Z83" i="36"/>
  <c r="Y83" i="36"/>
  <c r="X83" i="36"/>
  <c r="W83" i="36"/>
  <c r="V83" i="36"/>
  <c r="U83" i="36"/>
  <c r="T83" i="36"/>
  <c r="S83" i="36"/>
  <c r="R83" i="36"/>
  <c r="Q83" i="36"/>
  <c r="P83" i="36"/>
  <c r="O83" i="36"/>
  <c r="N83" i="36"/>
  <c r="M83" i="36"/>
  <c r="L83" i="36"/>
  <c r="K83" i="36"/>
  <c r="J83" i="36"/>
  <c r="I83" i="36"/>
  <c r="H83" i="36"/>
  <c r="G83" i="36"/>
  <c r="F83" i="36"/>
  <c r="E83" i="36"/>
  <c r="D83" i="36"/>
  <c r="C83" i="36"/>
  <c r="B83" i="36"/>
  <c r="AF82" i="36"/>
  <c r="AE82" i="36"/>
  <c r="AD82" i="36"/>
  <c r="AC82" i="36"/>
  <c r="AB82" i="36"/>
  <c r="AA82" i="36"/>
  <c r="Z82" i="36"/>
  <c r="Y82" i="36"/>
  <c r="X82" i="36"/>
  <c r="W82" i="36"/>
  <c r="V82" i="36"/>
  <c r="U82" i="36"/>
  <c r="T82" i="36"/>
  <c r="S82" i="36"/>
  <c r="R82" i="36"/>
  <c r="Q82" i="36"/>
  <c r="P82" i="36"/>
  <c r="O82" i="36"/>
  <c r="N82" i="36"/>
  <c r="M82" i="36"/>
  <c r="L82" i="36"/>
  <c r="K82" i="36"/>
  <c r="J82" i="36"/>
  <c r="I82" i="36"/>
  <c r="H82" i="36"/>
  <c r="G82" i="36"/>
  <c r="F82" i="36"/>
  <c r="E82" i="36"/>
  <c r="D82" i="36"/>
  <c r="C82" i="36"/>
  <c r="B82" i="36"/>
  <c r="B87" i="36" s="1"/>
  <c r="AF81" i="36"/>
  <c r="AE81" i="36"/>
  <c r="AD81" i="36"/>
  <c r="AC81" i="36"/>
  <c r="AB81" i="36"/>
  <c r="AA81" i="36"/>
  <c r="Z81" i="36"/>
  <c r="Y81" i="36"/>
  <c r="X81" i="36"/>
  <c r="W81" i="36"/>
  <c r="V81" i="36"/>
  <c r="U81" i="36"/>
  <c r="T81" i="36"/>
  <c r="S81" i="36"/>
  <c r="R81" i="36"/>
  <c r="Q81" i="36"/>
  <c r="P81" i="36"/>
  <c r="O81" i="36"/>
  <c r="N81" i="36"/>
  <c r="N87" i="36" s="1"/>
  <c r="N88" i="36" s="1"/>
  <c r="M81" i="36"/>
  <c r="L81" i="36"/>
  <c r="K81" i="36"/>
  <c r="J81" i="36"/>
  <c r="I81" i="36"/>
  <c r="H81" i="36"/>
  <c r="G81" i="36"/>
  <c r="F81" i="36"/>
  <c r="E81" i="36"/>
  <c r="D81" i="36"/>
  <c r="C81" i="36"/>
  <c r="B81" i="36"/>
  <c r="AI78" i="36"/>
  <c r="AH78" i="36"/>
  <c r="AI76" i="36"/>
  <c r="AH76" i="36"/>
  <c r="AG76" i="36"/>
  <c r="AI75" i="36"/>
  <c r="AH75" i="36"/>
  <c r="AI74" i="36"/>
  <c r="AH74" i="36"/>
  <c r="AI73" i="36"/>
  <c r="AH73" i="36"/>
  <c r="AG72" i="36"/>
  <c r="AF72" i="36"/>
  <c r="AE5" i="36" s="1"/>
  <c r="AE72" i="36"/>
  <c r="AD72" i="36"/>
  <c r="AC72" i="36"/>
  <c r="AB5" i="36" s="1"/>
  <c r="AB72" i="36"/>
  <c r="AA5" i="36" s="1"/>
  <c r="AA72" i="36"/>
  <c r="Z5" i="36" s="1"/>
  <c r="Z72" i="36"/>
  <c r="Y72" i="36"/>
  <c r="X72" i="36"/>
  <c r="W5" i="36" s="1"/>
  <c r="W72" i="36"/>
  <c r="V5" i="36" s="1"/>
  <c r="V72" i="36"/>
  <c r="U5" i="36" s="1"/>
  <c r="U72" i="36"/>
  <c r="T5" i="36" s="1"/>
  <c r="T72" i="36"/>
  <c r="S72" i="36"/>
  <c r="R5" i="36" s="1"/>
  <c r="R72" i="36"/>
  <c r="Q72" i="36"/>
  <c r="P72" i="36"/>
  <c r="O5" i="36" s="1"/>
  <c r="O72" i="36"/>
  <c r="N5" i="36" s="1"/>
  <c r="N72" i="36"/>
  <c r="M72" i="36"/>
  <c r="L5" i="36" s="1"/>
  <c r="L72" i="36"/>
  <c r="K5" i="36" s="1"/>
  <c r="K72" i="36"/>
  <c r="J5" i="36" s="1"/>
  <c r="J72" i="36"/>
  <c r="I72" i="36"/>
  <c r="H72" i="36"/>
  <c r="G5" i="36" s="1"/>
  <c r="G72" i="36"/>
  <c r="F5" i="36" s="1"/>
  <c r="F72" i="36"/>
  <c r="E5" i="36" s="1"/>
  <c r="E72" i="36"/>
  <c r="D5" i="36" s="1"/>
  <c r="D72" i="36"/>
  <c r="C5" i="36" s="1"/>
  <c r="C72" i="36"/>
  <c r="B5" i="36" s="1"/>
  <c r="B72" i="36"/>
  <c r="AI71" i="36"/>
  <c r="AH71" i="36"/>
  <c r="AI70" i="36"/>
  <c r="AH70" i="36"/>
  <c r="AI69" i="36"/>
  <c r="AH69" i="36"/>
  <c r="AI68" i="36"/>
  <c r="AH68" i="36"/>
  <c r="AI67" i="36"/>
  <c r="AH67" i="36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G60" i="36"/>
  <c r="AG4" i="36" s="1"/>
  <c r="AF60" i="36"/>
  <c r="AE60" i="36"/>
  <c r="AD60" i="36"/>
  <c r="AC60" i="36"/>
  <c r="AB60" i="36"/>
  <c r="AA60" i="36"/>
  <c r="Z60" i="36"/>
  <c r="Y60" i="36"/>
  <c r="X60" i="36"/>
  <c r="W60" i="36"/>
  <c r="V60" i="36"/>
  <c r="U60" i="36"/>
  <c r="T60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B60" i="36"/>
  <c r="AI59" i="36"/>
  <c r="AH59" i="36"/>
  <c r="AI58" i="36"/>
  <c r="AH58" i="36"/>
  <c r="AI57" i="36"/>
  <c r="AH57" i="36"/>
  <c r="AG56" i="36"/>
  <c r="AF56" i="36"/>
  <c r="AE56" i="36"/>
  <c r="AD56" i="36"/>
  <c r="AC56" i="36"/>
  <c r="AB56" i="36"/>
  <c r="AA56" i="36"/>
  <c r="Z56" i="36"/>
  <c r="Y56" i="36"/>
  <c r="X56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B56" i="36"/>
  <c r="AI55" i="36"/>
  <c r="AH55" i="36"/>
  <c r="AG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B42" i="36"/>
  <c r="AI41" i="36"/>
  <c r="AH41" i="36"/>
  <c r="AI40" i="36"/>
  <c r="AH40" i="36"/>
  <c r="AI39" i="36"/>
  <c r="AH39" i="36"/>
  <c r="AG38" i="36"/>
  <c r="AG77" i="36" s="1"/>
  <c r="AF38" i="36"/>
  <c r="AE38" i="36"/>
  <c r="AD38" i="36"/>
  <c r="AC38" i="36"/>
  <c r="AB38" i="36"/>
  <c r="AA38" i="36"/>
  <c r="Z38" i="36"/>
  <c r="Z77" i="36" s="1"/>
  <c r="Z79" i="36" s="1"/>
  <c r="Y38" i="36"/>
  <c r="X38" i="36"/>
  <c r="W38" i="36"/>
  <c r="V38" i="36"/>
  <c r="U38" i="36"/>
  <c r="T38" i="36"/>
  <c r="T77" i="36" s="1"/>
  <c r="T79" i="36" s="1"/>
  <c r="T7" i="36" s="1"/>
  <c r="S77" i="36"/>
  <c r="S79" i="36" s="1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AI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D5" i="36"/>
  <c r="AC5" i="36"/>
  <c r="S5" i="36"/>
  <c r="M5" i="36"/>
  <c r="K4" i="36"/>
  <c r="B4" i="36"/>
  <c r="D233" i="36" s="1"/>
  <c r="AG3" i="36"/>
  <c r="AG2" i="36"/>
  <c r="AG6" i="36" s="1"/>
  <c r="AF101" i="35"/>
  <c r="AF37" i="35"/>
  <c r="AE101" i="35"/>
  <c r="AE37" i="35"/>
  <c r="AD101" i="35"/>
  <c r="AD37" i="35"/>
  <c r="AC101" i="35"/>
  <c r="AC37" i="35"/>
  <c r="AB101" i="35"/>
  <c r="AB37" i="35"/>
  <c r="AA101" i="35"/>
  <c r="AA37" i="35"/>
  <c r="E4" i="36"/>
  <c r="AF87" i="36" l="1"/>
  <c r="AF88" i="36" s="1"/>
  <c r="AF77" i="36"/>
  <c r="AF79" i="36" s="1"/>
  <c r="AF80" i="36" s="1"/>
  <c r="AE77" i="36"/>
  <c r="AE79" i="36" s="1"/>
  <c r="AC77" i="36"/>
  <c r="AC79" i="36" s="1"/>
  <c r="AC87" i="36"/>
  <c r="AD87" i="36"/>
  <c r="AD88" i="36" s="1"/>
  <c r="AD77" i="36"/>
  <c r="AD79" i="36" s="1"/>
  <c r="AB77" i="36"/>
  <c r="AB79" i="36" s="1"/>
  <c r="AB7" i="36" s="1"/>
  <c r="AA87" i="36"/>
  <c r="AA77" i="36"/>
  <c r="AA79" i="36" s="1"/>
  <c r="Z87" i="36"/>
  <c r="Y87" i="36"/>
  <c r="X87" i="36"/>
  <c r="X77" i="36"/>
  <c r="X79" i="36" s="1"/>
  <c r="X80" i="36" s="1"/>
  <c r="W77" i="36"/>
  <c r="W79" i="36" s="1"/>
  <c r="V87" i="36"/>
  <c r="V88" i="36" s="1"/>
  <c r="U87" i="36"/>
  <c r="V77" i="36"/>
  <c r="V79" i="36" s="1"/>
  <c r="U77" i="36"/>
  <c r="U79" i="36" s="1"/>
  <c r="R87" i="36"/>
  <c r="P87" i="36"/>
  <c r="R77" i="36"/>
  <c r="R79" i="36" s="1"/>
  <c r="P77" i="36"/>
  <c r="P79" i="36" s="1"/>
  <c r="P80" i="36" s="1"/>
  <c r="O77" i="36"/>
  <c r="O79" i="36" s="1"/>
  <c r="N77" i="36"/>
  <c r="N79" i="36" s="1"/>
  <c r="M87" i="36"/>
  <c r="M77" i="36"/>
  <c r="M79" i="36" s="1"/>
  <c r="AE236" i="36" s="1"/>
  <c r="L77" i="36"/>
  <c r="L79" i="36" s="1"/>
  <c r="L7" i="36" s="1"/>
  <c r="K87" i="36"/>
  <c r="K77" i="36"/>
  <c r="K79" i="36" s="1"/>
  <c r="K7" i="36" s="1"/>
  <c r="J87" i="36"/>
  <c r="J77" i="36"/>
  <c r="J79" i="36" s="1"/>
  <c r="AB236" i="36" s="1"/>
  <c r="AI83" i="36"/>
  <c r="I87" i="36"/>
  <c r="I88" i="36" s="1"/>
  <c r="H77" i="36"/>
  <c r="H79" i="36" s="1"/>
  <c r="Z236" i="36" s="1"/>
  <c r="G77" i="36"/>
  <c r="G79" i="36" s="1"/>
  <c r="Y236" i="36" s="1"/>
  <c r="F87" i="36"/>
  <c r="F88" i="36" s="1"/>
  <c r="F77" i="36"/>
  <c r="F79" i="36" s="1"/>
  <c r="F7" i="36" s="1"/>
  <c r="E87" i="36"/>
  <c r="E77" i="36"/>
  <c r="E79" i="36" s="1"/>
  <c r="AI84" i="36"/>
  <c r="AI85" i="36"/>
  <c r="D77" i="36"/>
  <c r="D79" i="36" s="1"/>
  <c r="D7" i="36" s="1"/>
  <c r="C87" i="36"/>
  <c r="C77" i="36"/>
  <c r="C79" i="36" s="1"/>
  <c r="C7" i="36" s="1"/>
  <c r="AH82" i="36"/>
  <c r="B77" i="36"/>
  <c r="B79" i="36" s="1"/>
  <c r="T236" i="36" s="1"/>
  <c r="H4" i="36"/>
  <c r="AG236" i="36"/>
  <c r="O7" i="36"/>
  <c r="AO236" i="36"/>
  <c r="W7" i="36"/>
  <c r="AD80" i="36"/>
  <c r="AV236" i="36"/>
  <c r="AD7" i="36"/>
  <c r="V80" i="36"/>
  <c r="AN236" i="36"/>
  <c r="V7" i="36"/>
  <c r="J80" i="36"/>
  <c r="R80" i="36"/>
  <c r="AJ236" i="36"/>
  <c r="R7" i="36"/>
  <c r="Z80" i="36"/>
  <c r="AR236" i="36"/>
  <c r="Z7" i="36"/>
  <c r="AW236" i="36"/>
  <c r="AE7" i="36"/>
  <c r="AS236" i="36"/>
  <c r="AA80" i="36"/>
  <c r="AA7" i="36"/>
  <c r="AK236" i="36"/>
  <c r="S80" i="36"/>
  <c r="S7" i="36"/>
  <c r="N80" i="36"/>
  <c r="AF236" i="36"/>
  <c r="N7" i="36"/>
  <c r="B98" i="36"/>
  <c r="B222" i="36"/>
  <c r="S233" i="36"/>
  <c r="AC80" i="36"/>
  <c r="AU236" i="36"/>
  <c r="AC7" i="36"/>
  <c r="G87" i="36"/>
  <c r="G88" i="36" s="1"/>
  <c r="O87" i="36"/>
  <c r="O88" i="36" s="1"/>
  <c r="W87" i="36"/>
  <c r="W88" i="36" s="1"/>
  <c r="AE87" i="36"/>
  <c r="AE88" i="36" s="1"/>
  <c r="H88" i="36"/>
  <c r="D257" i="36"/>
  <c r="F221" i="36"/>
  <c r="U80" i="36"/>
  <c r="U7" i="36"/>
  <c r="AM236" i="36"/>
  <c r="P7" i="36"/>
  <c r="AH236" i="36"/>
  <c r="Y88" i="36"/>
  <c r="X5" i="36"/>
  <c r="AG79" i="36"/>
  <c r="AH81" i="36"/>
  <c r="H87" i="36"/>
  <c r="H80" i="36" s="1"/>
  <c r="P88" i="36"/>
  <c r="E80" i="36"/>
  <c r="W236" i="36"/>
  <c r="E7" i="36"/>
  <c r="H7" i="36"/>
  <c r="H5" i="36"/>
  <c r="I77" i="36"/>
  <c r="I79" i="36" s="1"/>
  <c r="Q77" i="36"/>
  <c r="Q79" i="36" s="1"/>
  <c r="Y77" i="36"/>
  <c r="Y79" i="36" s="1"/>
  <c r="AI42" i="36"/>
  <c r="AI72" i="36"/>
  <c r="AF5" i="36"/>
  <c r="B88" i="36"/>
  <c r="J88" i="36"/>
  <c r="I5" i="36"/>
  <c r="Q5" i="36"/>
  <c r="R88" i="36"/>
  <c r="Z88" i="36"/>
  <c r="Y5" i="36"/>
  <c r="AH72" i="36"/>
  <c r="AI82" i="36"/>
  <c r="X88" i="36"/>
  <c r="AH42" i="36"/>
  <c r="AI60" i="36"/>
  <c r="AH60" i="36"/>
  <c r="AF7" i="36"/>
  <c r="AX236" i="36"/>
  <c r="Q88" i="36"/>
  <c r="P5" i="36"/>
  <c r="AI56" i="36"/>
  <c r="AH56" i="36"/>
  <c r="X7" i="36"/>
  <c r="AP236" i="36"/>
  <c r="V236" i="36"/>
  <c r="AL236" i="36"/>
  <c r="AB80" i="36"/>
  <c r="AT236" i="36"/>
  <c r="E88" i="36"/>
  <c r="M88" i="36"/>
  <c r="U88" i="36"/>
  <c r="AC88" i="36"/>
  <c r="D87" i="36"/>
  <c r="L87" i="36"/>
  <c r="L80" i="36" s="1"/>
  <c r="T87" i="36"/>
  <c r="T88" i="36" s="1"/>
  <c r="AB87" i="36"/>
  <c r="AB88" i="36" s="1"/>
  <c r="D98" i="36"/>
  <c r="AI81" i="36"/>
  <c r="E216" i="36"/>
  <c r="AH83" i="36"/>
  <c r="C88" i="36"/>
  <c r="K88" i="36"/>
  <c r="S88" i="36"/>
  <c r="AA88" i="36"/>
  <c r="AH38" i="36"/>
  <c r="AH84" i="36"/>
  <c r="AI38" i="36"/>
  <c r="AH85" i="36"/>
  <c r="Z101" i="35"/>
  <c r="Z98" i="35"/>
  <c r="Z85" i="35"/>
  <c r="Z84" i="35"/>
  <c r="Z83" i="35"/>
  <c r="Z82" i="35"/>
  <c r="Z87" i="35" s="1"/>
  <c r="Z88" i="35" s="1"/>
  <c r="Z81" i="35"/>
  <c r="Z76" i="35"/>
  <c r="Z72" i="35"/>
  <c r="Z60" i="35"/>
  <c r="Z56" i="35"/>
  <c r="Z42" i="35"/>
  <c r="Z38" i="35"/>
  <c r="Z77" i="35" s="1"/>
  <c r="Z79" i="35" s="1"/>
  <c r="Z80" i="35" s="1"/>
  <c r="Z37" i="35"/>
  <c r="Y101" i="35"/>
  <c r="Y37" i="35"/>
  <c r="X101" i="35"/>
  <c r="X37" i="35"/>
  <c r="AL26" i="35"/>
  <c r="T37" i="35"/>
  <c r="S37" i="35"/>
  <c r="R37" i="35"/>
  <c r="W80" i="36" l="1"/>
  <c r="AD236" i="36"/>
  <c r="K80" i="36"/>
  <c r="AC236" i="36"/>
  <c r="C231" i="36"/>
  <c r="M80" i="36"/>
  <c r="M7" i="36"/>
  <c r="J7" i="36"/>
  <c r="G7" i="36"/>
  <c r="X236" i="36"/>
  <c r="F80" i="36"/>
  <c r="C80" i="36"/>
  <c r="U236" i="36"/>
  <c r="AH77" i="36"/>
  <c r="AI77" i="36"/>
  <c r="B7" i="36"/>
  <c r="B80" i="36"/>
  <c r="Y7" i="36"/>
  <c r="Y80" i="36"/>
  <c r="AQ236" i="36"/>
  <c r="B231" i="36"/>
  <c r="G221" i="36"/>
  <c r="E257" i="36"/>
  <c r="AH87" i="36"/>
  <c r="T80" i="36"/>
  <c r="Q7" i="36"/>
  <c r="Q80" i="36"/>
  <c r="AI236" i="36"/>
  <c r="L88" i="36"/>
  <c r="AI79" i="36"/>
  <c r="I7" i="36"/>
  <c r="I80" i="36"/>
  <c r="AA236" i="36"/>
  <c r="AI87" i="36"/>
  <c r="AE80" i="36"/>
  <c r="F216" i="36"/>
  <c r="E222" i="36"/>
  <c r="E98" i="36"/>
  <c r="D88" i="36"/>
  <c r="O80" i="36"/>
  <c r="D80" i="36"/>
  <c r="G80" i="36"/>
  <c r="AH79" i="36"/>
  <c r="Q37" i="35"/>
  <c r="P37" i="35"/>
  <c r="K6" i="36" l="1"/>
  <c r="AH88" i="36"/>
  <c r="AH80" i="36"/>
  <c r="A7" i="36"/>
  <c r="F257" i="36"/>
  <c r="H221" i="36"/>
  <c r="G216" i="36"/>
  <c r="F98" i="36"/>
  <c r="F222" i="36"/>
  <c r="AI88" i="36"/>
  <c r="O37" i="35"/>
  <c r="H216" i="36" l="1"/>
  <c r="G98" i="36"/>
  <c r="G222" i="36"/>
  <c r="G257" i="36"/>
  <c r="I221" i="36"/>
  <c r="N37" i="35"/>
  <c r="M101" i="35"/>
  <c r="M37" i="35"/>
  <c r="AH37" i="35" s="1"/>
  <c r="L101" i="35"/>
  <c r="L37" i="35"/>
  <c r="K101" i="35"/>
  <c r="K37" i="35"/>
  <c r="J101" i="35"/>
  <c r="J37" i="35"/>
  <c r="I101" i="35"/>
  <c r="I37" i="35"/>
  <c r="H101" i="35"/>
  <c r="H37" i="35"/>
  <c r="G101" i="35"/>
  <c r="G37" i="35"/>
  <c r="F101" i="35"/>
  <c r="F37" i="35"/>
  <c r="E101" i="35"/>
  <c r="E37" i="35"/>
  <c r="AI37" i="35" s="1"/>
  <c r="AF261" i="35"/>
  <c r="AE261" i="35"/>
  <c r="AD261" i="35"/>
  <c r="AC261" i="35"/>
  <c r="AB261" i="35"/>
  <c r="AA261" i="35"/>
  <c r="Z261" i="35"/>
  <c r="Y261" i="35"/>
  <c r="X261" i="35"/>
  <c r="W261" i="35"/>
  <c r="V261" i="35"/>
  <c r="U261" i="35"/>
  <c r="T261" i="35"/>
  <c r="S261" i="35"/>
  <c r="R261" i="35"/>
  <c r="Q261" i="35"/>
  <c r="P261" i="35"/>
  <c r="O261" i="35"/>
  <c r="N261" i="35"/>
  <c r="M261" i="35"/>
  <c r="L261" i="35"/>
  <c r="K261" i="35"/>
  <c r="J261" i="35"/>
  <c r="I261" i="35"/>
  <c r="H261" i="35"/>
  <c r="G261" i="35"/>
  <c r="F261" i="35"/>
  <c r="E261" i="35"/>
  <c r="D261" i="35"/>
  <c r="C261" i="35"/>
  <c r="B261" i="35"/>
  <c r="A261" i="35"/>
  <c r="AF260" i="35"/>
  <c r="AE260" i="35"/>
  <c r="AD260" i="35"/>
  <c r="AC260" i="35"/>
  <c r="AB260" i="35"/>
  <c r="AA260" i="35"/>
  <c r="Z260" i="35"/>
  <c r="Y260" i="35"/>
  <c r="X260" i="35"/>
  <c r="W260" i="35"/>
  <c r="V260" i="35"/>
  <c r="U260" i="35"/>
  <c r="T260" i="35"/>
  <c r="S260" i="35"/>
  <c r="R260" i="35"/>
  <c r="Q260" i="35"/>
  <c r="P260" i="35"/>
  <c r="O260" i="35"/>
  <c r="N260" i="35"/>
  <c r="M260" i="35"/>
  <c r="L260" i="35"/>
  <c r="K260" i="35"/>
  <c r="J260" i="35"/>
  <c r="I260" i="35"/>
  <c r="H260" i="35"/>
  <c r="G260" i="35"/>
  <c r="F260" i="35"/>
  <c r="E260" i="35"/>
  <c r="D260" i="35"/>
  <c r="C260" i="35"/>
  <c r="B260" i="35"/>
  <c r="A260" i="35"/>
  <c r="AF259" i="35"/>
  <c r="AE259" i="35"/>
  <c r="AD259" i="35"/>
  <c r="AC259" i="35"/>
  <c r="AB259" i="35"/>
  <c r="AA259" i="35"/>
  <c r="Z259" i="35"/>
  <c r="Y259" i="35"/>
  <c r="X259" i="35"/>
  <c r="W259" i="35"/>
  <c r="V259" i="35"/>
  <c r="U259" i="35"/>
  <c r="T259" i="35"/>
  <c r="S259" i="35"/>
  <c r="R259" i="35"/>
  <c r="Q259" i="35"/>
  <c r="P259" i="35"/>
  <c r="O259" i="35"/>
  <c r="N259" i="35"/>
  <c r="M259" i="35"/>
  <c r="L259" i="35"/>
  <c r="K259" i="35"/>
  <c r="J259" i="35"/>
  <c r="I259" i="35"/>
  <c r="H259" i="35"/>
  <c r="G259" i="35"/>
  <c r="F259" i="35"/>
  <c r="E259" i="35"/>
  <c r="D259" i="35"/>
  <c r="C259" i="35"/>
  <c r="B259" i="35"/>
  <c r="A259" i="35"/>
  <c r="AF258" i="35"/>
  <c r="AE258" i="35"/>
  <c r="AD258" i="35"/>
  <c r="AC258" i="35"/>
  <c r="AB258" i="35"/>
  <c r="AA258" i="35"/>
  <c r="Z258" i="35"/>
  <c r="Y258" i="35"/>
  <c r="X258" i="35"/>
  <c r="W258" i="35"/>
  <c r="V258" i="35"/>
  <c r="U258" i="35"/>
  <c r="T258" i="35"/>
  <c r="S258" i="35"/>
  <c r="R258" i="35"/>
  <c r="Q258" i="35"/>
  <c r="P258" i="35"/>
  <c r="O258" i="35"/>
  <c r="N258" i="35"/>
  <c r="M258" i="35"/>
  <c r="L258" i="35"/>
  <c r="K258" i="35"/>
  <c r="J258" i="35"/>
  <c r="I258" i="35"/>
  <c r="H258" i="35"/>
  <c r="G258" i="35"/>
  <c r="F258" i="35"/>
  <c r="E258" i="35"/>
  <c r="D258" i="35"/>
  <c r="C258" i="35"/>
  <c r="B258" i="35"/>
  <c r="A258" i="35"/>
  <c r="AE257" i="35"/>
  <c r="AD257" i="35"/>
  <c r="AC257" i="35"/>
  <c r="AB257" i="35"/>
  <c r="AA257" i="35"/>
  <c r="Z257" i="35"/>
  <c r="Y257" i="35"/>
  <c r="X257" i="35"/>
  <c r="W257" i="35"/>
  <c r="V257" i="35"/>
  <c r="U257" i="35"/>
  <c r="T257" i="35"/>
  <c r="S257" i="35"/>
  <c r="R257" i="35"/>
  <c r="Q257" i="35"/>
  <c r="P257" i="35"/>
  <c r="C257" i="35"/>
  <c r="B257" i="35"/>
  <c r="S232" i="35"/>
  <c r="AG222" i="35"/>
  <c r="AF222" i="35"/>
  <c r="AE222" i="35"/>
  <c r="AD222" i="35"/>
  <c r="AC222" i="35"/>
  <c r="AB222" i="35"/>
  <c r="AA222" i="35"/>
  <c r="Z222" i="35"/>
  <c r="Y222" i="35"/>
  <c r="X222" i="35"/>
  <c r="W222" i="35"/>
  <c r="V222" i="35"/>
  <c r="U222" i="35"/>
  <c r="T222" i="35"/>
  <c r="S222" i="35"/>
  <c r="R222" i="35"/>
  <c r="Q222" i="35"/>
  <c r="D222" i="35"/>
  <c r="C222" i="35"/>
  <c r="F221" i="35"/>
  <c r="E257" i="35" s="1"/>
  <c r="E221" i="35"/>
  <c r="D257" i="35" s="1"/>
  <c r="D221" i="35"/>
  <c r="B221" i="35"/>
  <c r="AF257" i="35" s="1"/>
  <c r="D220" i="35"/>
  <c r="E220" i="35" s="1"/>
  <c r="F220" i="35" s="1"/>
  <c r="G220" i="35" s="1"/>
  <c r="H220" i="35" s="1"/>
  <c r="I220" i="35" s="1"/>
  <c r="J220" i="35" s="1"/>
  <c r="K220" i="35" s="1"/>
  <c r="L220" i="35" s="1"/>
  <c r="M220" i="35" s="1"/>
  <c r="N220" i="35" s="1"/>
  <c r="O220" i="35" s="1"/>
  <c r="P220" i="35" s="1"/>
  <c r="B220" i="35"/>
  <c r="G219" i="35"/>
  <c r="H219" i="35" s="1"/>
  <c r="I219" i="35" s="1"/>
  <c r="J219" i="35" s="1"/>
  <c r="K219" i="35" s="1"/>
  <c r="L219" i="35" s="1"/>
  <c r="M219" i="35" s="1"/>
  <c r="N219" i="35" s="1"/>
  <c r="O219" i="35" s="1"/>
  <c r="P219" i="35" s="1"/>
  <c r="F219" i="35"/>
  <c r="E219" i="35"/>
  <c r="D219" i="35"/>
  <c r="B219" i="35"/>
  <c r="E218" i="35"/>
  <c r="F218" i="35" s="1"/>
  <c r="G218" i="35" s="1"/>
  <c r="H218" i="35" s="1"/>
  <c r="I218" i="35" s="1"/>
  <c r="J218" i="35" s="1"/>
  <c r="K218" i="35" s="1"/>
  <c r="L218" i="35" s="1"/>
  <c r="M218" i="35" s="1"/>
  <c r="N218" i="35" s="1"/>
  <c r="O218" i="35" s="1"/>
  <c r="P218" i="35" s="1"/>
  <c r="D218" i="35"/>
  <c r="B218" i="35"/>
  <c r="F217" i="35"/>
  <c r="G217" i="35" s="1"/>
  <c r="H217" i="35" s="1"/>
  <c r="I217" i="35" s="1"/>
  <c r="J217" i="35" s="1"/>
  <c r="K217" i="35" s="1"/>
  <c r="L217" i="35" s="1"/>
  <c r="M217" i="35" s="1"/>
  <c r="N217" i="35" s="1"/>
  <c r="O217" i="35" s="1"/>
  <c r="P217" i="35" s="1"/>
  <c r="E217" i="35"/>
  <c r="D217" i="35"/>
  <c r="B217" i="35"/>
  <c r="D216" i="35"/>
  <c r="E216" i="35" s="1"/>
  <c r="B216" i="35"/>
  <c r="B222" i="35" s="1"/>
  <c r="AG214" i="35"/>
  <c r="AF214" i="35"/>
  <c r="AE214" i="35"/>
  <c r="AD214" i="35"/>
  <c r="AC214" i="35"/>
  <c r="AB214" i="35"/>
  <c r="AA214" i="35"/>
  <c r="Z214" i="35"/>
  <c r="Y214" i="35"/>
  <c r="X214" i="35"/>
  <c r="W214" i="35"/>
  <c r="V214" i="35"/>
  <c r="U214" i="35"/>
  <c r="T214" i="35"/>
  <c r="S214" i="35"/>
  <c r="R214" i="35"/>
  <c r="Q214" i="35"/>
  <c r="P214" i="35"/>
  <c r="O214" i="35"/>
  <c r="N214" i="35"/>
  <c r="M214" i="35"/>
  <c r="L214" i="35"/>
  <c r="K214" i="35"/>
  <c r="J214" i="35"/>
  <c r="I214" i="35"/>
  <c r="H214" i="35"/>
  <c r="G214" i="35"/>
  <c r="F214" i="35"/>
  <c r="E214" i="35"/>
  <c r="D214" i="35"/>
  <c r="C214" i="35"/>
  <c r="B214" i="35"/>
  <c r="AH107" i="35"/>
  <c r="AI107" i="35" s="1"/>
  <c r="AH106" i="35"/>
  <c r="AI106" i="35" s="1"/>
  <c r="AH105" i="35"/>
  <c r="AI105" i="35" s="1"/>
  <c r="AH104" i="35"/>
  <c r="AI104" i="35" s="1"/>
  <c r="AH103" i="35"/>
  <c r="AI103" i="35" s="1"/>
  <c r="AH102" i="35"/>
  <c r="AI102" i="35" s="1"/>
  <c r="AH100" i="35"/>
  <c r="AI100" i="35" s="1"/>
  <c r="AH99" i="35"/>
  <c r="AI99" i="35" s="1"/>
  <c r="AF98" i="35"/>
  <c r="AE98" i="35"/>
  <c r="AD98" i="35"/>
  <c r="AC98" i="35"/>
  <c r="AB98" i="35"/>
  <c r="AA98" i="35"/>
  <c r="Y98" i="35"/>
  <c r="X98" i="35"/>
  <c r="W98" i="35"/>
  <c r="V98" i="35"/>
  <c r="U98" i="35"/>
  <c r="T98" i="35"/>
  <c r="S98" i="35"/>
  <c r="R98" i="35"/>
  <c r="Q98" i="35"/>
  <c r="D98" i="35"/>
  <c r="C98" i="35"/>
  <c r="AI96" i="35"/>
  <c r="AH96" i="35"/>
  <c r="AI95" i="35"/>
  <c r="AH95" i="35"/>
  <c r="AI94" i="35"/>
  <c r="AH94" i="35"/>
  <c r="AI93" i="35"/>
  <c r="AH93" i="35"/>
  <c r="AI92" i="35"/>
  <c r="AH92" i="35"/>
  <c r="AI91" i="35"/>
  <c r="AH91" i="35"/>
  <c r="AI90" i="35"/>
  <c r="AH90" i="35"/>
  <c r="AI89" i="35"/>
  <c r="AH89" i="35"/>
  <c r="AI86" i="35"/>
  <c r="AH86" i="35"/>
  <c r="AF85" i="35"/>
  <c r="AE85" i="35"/>
  <c r="AD85" i="35"/>
  <c r="AC85" i="35"/>
  <c r="AB85" i="35"/>
  <c r="AA85" i="35"/>
  <c r="Y85" i="35"/>
  <c r="X85" i="35"/>
  <c r="W85" i="35"/>
  <c r="V85" i="35"/>
  <c r="U85" i="35"/>
  <c r="T85" i="35"/>
  <c r="S85" i="35"/>
  <c r="R85" i="35"/>
  <c r="Q85" i="35"/>
  <c r="P85" i="35"/>
  <c r="O85" i="35"/>
  <c r="N85" i="35"/>
  <c r="M85" i="35"/>
  <c r="L85" i="35"/>
  <c r="K85" i="35"/>
  <c r="J85" i="35"/>
  <c r="I85" i="35"/>
  <c r="H85" i="35"/>
  <c r="G85" i="35"/>
  <c r="F85" i="35"/>
  <c r="E85" i="35"/>
  <c r="D85" i="35"/>
  <c r="C85" i="35"/>
  <c r="B85" i="35"/>
  <c r="AF84" i="35"/>
  <c r="AE84" i="35"/>
  <c r="AD84" i="35"/>
  <c r="AC84" i="35"/>
  <c r="AB84" i="35"/>
  <c r="AA84" i="35"/>
  <c r="Y84" i="35"/>
  <c r="X84" i="35"/>
  <c r="W84" i="35"/>
  <c r="V84" i="35"/>
  <c r="U84" i="35"/>
  <c r="T84" i="35"/>
  <c r="S84" i="35"/>
  <c r="R84" i="35"/>
  <c r="Q84" i="35"/>
  <c r="P84" i="35"/>
  <c r="O84" i="35"/>
  <c r="N84" i="35"/>
  <c r="M84" i="35"/>
  <c r="L84" i="35"/>
  <c r="K84" i="35"/>
  <c r="J84" i="35"/>
  <c r="I84" i="35"/>
  <c r="H84" i="35"/>
  <c r="G84" i="35"/>
  <c r="F84" i="35"/>
  <c r="E84" i="35"/>
  <c r="D84" i="35"/>
  <c r="C84" i="35"/>
  <c r="B84" i="35"/>
  <c r="AF83" i="35"/>
  <c r="AE83" i="35"/>
  <c r="AD83" i="35"/>
  <c r="AC83" i="35"/>
  <c r="AB83" i="35"/>
  <c r="AA83" i="35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AF82" i="35"/>
  <c r="AE82" i="35"/>
  <c r="AD82" i="35"/>
  <c r="AC82" i="35"/>
  <c r="AB82" i="35"/>
  <c r="AA82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AF81" i="35"/>
  <c r="AE81" i="35"/>
  <c r="AD81" i="35"/>
  <c r="AC81" i="35"/>
  <c r="AB81" i="35"/>
  <c r="AA81" i="35"/>
  <c r="Y81" i="35"/>
  <c r="X81" i="35"/>
  <c r="W81" i="35"/>
  <c r="V81" i="35"/>
  <c r="V87" i="35" s="1"/>
  <c r="U81" i="35"/>
  <c r="T81" i="35"/>
  <c r="S81" i="35"/>
  <c r="S87" i="35" s="1"/>
  <c r="R81" i="35"/>
  <c r="Q81" i="35"/>
  <c r="P81" i="35"/>
  <c r="O81" i="35"/>
  <c r="N81" i="35"/>
  <c r="M81" i="35"/>
  <c r="M87" i="35" s="1"/>
  <c r="L81" i="35"/>
  <c r="L87" i="35" s="1"/>
  <c r="K81" i="35"/>
  <c r="J81" i="35"/>
  <c r="I81" i="35"/>
  <c r="H81" i="35"/>
  <c r="G81" i="35"/>
  <c r="F81" i="35"/>
  <c r="E81" i="35"/>
  <c r="D81" i="35"/>
  <c r="C81" i="35"/>
  <c r="B81" i="35"/>
  <c r="AI78" i="35"/>
  <c r="AH78" i="35"/>
  <c r="AI76" i="35"/>
  <c r="AH76" i="35"/>
  <c r="AG76" i="35"/>
  <c r="AI75" i="35"/>
  <c r="AH75" i="35"/>
  <c r="AI74" i="35"/>
  <c r="AH74" i="35"/>
  <c r="AI73" i="35"/>
  <c r="AH73" i="35"/>
  <c r="AG72" i="35"/>
  <c r="AF72" i="35"/>
  <c r="AE5" i="35" s="1"/>
  <c r="AE72" i="35"/>
  <c r="AD5" i="35" s="1"/>
  <c r="AD72" i="35"/>
  <c r="AC5" i="35" s="1"/>
  <c r="AC72" i="35"/>
  <c r="AB5" i="35" s="1"/>
  <c r="AB72" i="35"/>
  <c r="AA5" i="35" s="1"/>
  <c r="AA72" i="35"/>
  <c r="Y72" i="35"/>
  <c r="X72" i="35"/>
  <c r="W5" i="35" s="1"/>
  <c r="W72" i="35"/>
  <c r="V72" i="35"/>
  <c r="U5" i="35" s="1"/>
  <c r="U72" i="35"/>
  <c r="T72" i="35"/>
  <c r="S72" i="35"/>
  <c r="R72" i="35"/>
  <c r="Q72" i="35"/>
  <c r="P5" i="35" s="1"/>
  <c r="P72" i="35"/>
  <c r="O5" i="35" s="1"/>
  <c r="O72" i="35"/>
  <c r="N5" i="35" s="1"/>
  <c r="N72" i="35"/>
  <c r="M5" i="35" s="1"/>
  <c r="M72" i="35"/>
  <c r="L72" i="35"/>
  <c r="K72" i="35"/>
  <c r="J5" i="35" s="1"/>
  <c r="J72" i="35"/>
  <c r="I72" i="35"/>
  <c r="H5" i="35" s="1"/>
  <c r="H72" i="35"/>
  <c r="G5" i="35" s="1"/>
  <c r="G72" i="35"/>
  <c r="F72" i="35"/>
  <c r="E5" i="35" s="1"/>
  <c r="E72" i="35"/>
  <c r="D72" i="35"/>
  <c r="C5" i="35" s="1"/>
  <c r="C72" i="35"/>
  <c r="B5" i="35" s="1"/>
  <c r="B72" i="35"/>
  <c r="AF5" i="35" s="1"/>
  <c r="AI71" i="35"/>
  <c r="AH71" i="35"/>
  <c r="AI70" i="35"/>
  <c r="AH70" i="35"/>
  <c r="AI69" i="35"/>
  <c r="AH69" i="35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G60" i="35"/>
  <c r="AF60" i="35"/>
  <c r="AE60" i="35"/>
  <c r="AD60" i="35"/>
  <c r="AC60" i="35"/>
  <c r="AB60" i="35"/>
  <c r="AA60" i="35"/>
  <c r="Y60" i="35"/>
  <c r="X60" i="35"/>
  <c r="W60" i="35"/>
  <c r="V60" i="35"/>
  <c r="U60" i="35"/>
  <c r="T60" i="35"/>
  <c r="S60" i="35"/>
  <c r="R60" i="35"/>
  <c r="Q60" i="35"/>
  <c r="P60" i="35"/>
  <c r="O60" i="35"/>
  <c r="N60" i="35"/>
  <c r="M60" i="35"/>
  <c r="L60" i="35"/>
  <c r="K60" i="35"/>
  <c r="J60" i="35"/>
  <c r="I60" i="35"/>
  <c r="H60" i="35"/>
  <c r="G60" i="35"/>
  <c r="F60" i="35"/>
  <c r="E60" i="35"/>
  <c r="D60" i="35"/>
  <c r="C60" i="35"/>
  <c r="B60" i="35"/>
  <c r="AI59" i="35"/>
  <c r="AH59" i="35"/>
  <c r="AI58" i="35"/>
  <c r="AH58" i="35"/>
  <c r="AI57" i="35"/>
  <c r="AH57" i="35"/>
  <c r="AF56" i="35"/>
  <c r="AE56" i="35"/>
  <c r="AD56" i="35"/>
  <c r="AC56" i="35"/>
  <c r="AB56" i="35"/>
  <c r="AA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AI55" i="35"/>
  <c r="AH55" i="35"/>
  <c r="AG55" i="35"/>
  <c r="AG56" i="35" s="1"/>
  <c r="AG3" i="35" s="1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G42" i="35"/>
  <c r="AF42" i="35"/>
  <c r="AE42" i="35"/>
  <c r="AD42" i="35"/>
  <c r="AC42" i="35"/>
  <c r="AB42" i="35"/>
  <c r="AA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C42" i="35"/>
  <c r="B42" i="35"/>
  <c r="AI41" i="35"/>
  <c r="AH41" i="35"/>
  <c r="AI40" i="35"/>
  <c r="AH40" i="35"/>
  <c r="AI39" i="35"/>
  <c r="AH39" i="35"/>
  <c r="AG38" i="35"/>
  <c r="AF38" i="35"/>
  <c r="AE38" i="35"/>
  <c r="AD38" i="35"/>
  <c r="AC38" i="35"/>
  <c r="AB38" i="35"/>
  <c r="AA38" i="35"/>
  <c r="Y38" i="35"/>
  <c r="X38" i="35"/>
  <c r="W38" i="35"/>
  <c r="V38" i="35"/>
  <c r="U38" i="35"/>
  <c r="T38" i="35"/>
  <c r="S38" i="35"/>
  <c r="S77" i="35" s="1"/>
  <c r="S79" i="35" s="1"/>
  <c r="R38" i="35"/>
  <c r="R77" i="35" s="1"/>
  <c r="R79" i="35" s="1"/>
  <c r="Q38" i="35"/>
  <c r="P38" i="35"/>
  <c r="O38" i="35"/>
  <c r="N38" i="35"/>
  <c r="M38" i="35"/>
  <c r="L38" i="35"/>
  <c r="L77" i="35" s="1"/>
  <c r="L79" i="35" s="1"/>
  <c r="K38" i="35"/>
  <c r="J38" i="35"/>
  <c r="I38" i="35"/>
  <c r="H38" i="35"/>
  <c r="G38" i="35"/>
  <c r="F38" i="35"/>
  <c r="E38" i="35"/>
  <c r="D38" i="35"/>
  <c r="C38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Y5" i="35"/>
  <c r="V5" i="35"/>
  <c r="T5" i="35"/>
  <c r="S5" i="35"/>
  <c r="AG4" i="35"/>
  <c r="K4" i="35"/>
  <c r="B4" i="35"/>
  <c r="S233" i="35" s="1"/>
  <c r="AG2" i="35"/>
  <c r="AA101" i="34"/>
  <c r="AA37" i="34"/>
  <c r="Z101" i="34"/>
  <c r="Z98" i="34"/>
  <c r="Z87" i="34"/>
  <c r="Z85" i="34"/>
  <c r="Z84" i="34"/>
  <c r="Z83" i="34"/>
  <c r="Z82" i="34"/>
  <c r="Z81" i="34"/>
  <c r="Z77" i="34"/>
  <c r="Z79" i="34" s="1"/>
  <c r="Z80" i="34" s="1"/>
  <c r="Z76" i="34"/>
  <c r="Z72" i="34"/>
  <c r="Z88" i="34" s="1"/>
  <c r="Z60" i="34"/>
  <c r="Z56" i="34"/>
  <c r="Z42" i="34"/>
  <c r="Z38" i="34"/>
  <c r="Z37" i="34"/>
  <c r="Y37" i="34"/>
  <c r="X101" i="34"/>
  <c r="X37" i="34"/>
  <c r="W101" i="34"/>
  <c r="W37" i="34"/>
  <c r="V101" i="34"/>
  <c r="V37" i="34"/>
  <c r="U37" i="34"/>
  <c r="T101" i="34"/>
  <c r="T37" i="34"/>
  <c r="S101" i="34"/>
  <c r="S37" i="34"/>
  <c r="Q60" i="34"/>
  <c r="AH11" i="33"/>
  <c r="L101" i="34"/>
  <c r="L37" i="34"/>
  <c r="K101" i="34"/>
  <c r="K37" i="34"/>
  <c r="J101" i="34"/>
  <c r="J37" i="34"/>
  <c r="I101" i="34"/>
  <c r="I37" i="34"/>
  <c r="H101" i="34"/>
  <c r="H37" i="34"/>
  <c r="G101" i="34"/>
  <c r="G37" i="34"/>
  <c r="F101" i="34"/>
  <c r="F37" i="34"/>
  <c r="E101" i="34"/>
  <c r="E37" i="34"/>
  <c r="D101" i="34"/>
  <c r="D37" i="34"/>
  <c r="C101" i="34"/>
  <c r="C37" i="34"/>
  <c r="B101" i="34"/>
  <c r="B37" i="34"/>
  <c r="B98" i="34"/>
  <c r="B85" i="34"/>
  <c r="B84" i="34"/>
  <c r="B83" i="34"/>
  <c r="B82" i="34"/>
  <c r="B81" i="34"/>
  <c r="B72" i="34"/>
  <c r="AF5" i="34" s="1"/>
  <c r="B60" i="34"/>
  <c r="B56" i="34"/>
  <c r="B42" i="34"/>
  <c r="B38" i="34"/>
  <c r="AF101" i="33"/>
  <c r="AF261" i="34"/>
  <c r="AE261" i="34"/>
  <c r="AD261" i="34"/>
  <c r="AC261" i="34"/>
  <c r="AB261" i="34"/>
  <c r="AA261" i="34"/>
  <c r="Z261" i="34"/>
  <c r="Y261" i="34"/>
  <c r="X261" i="34"/>
  <c r="W261" i="34"/>
  <c r="V261" i="34"/>
  <c r="U261" i="34"/>
  <c r="T261" i="34"/>
  <c r="S261" i="34"/>
  <c r="R261" i="34"/>
  <c r="Q261" i="34"/>
  <c r="P261" i="34"/>
  <c r="O261" i="34"/>
  <c r="N261" i="34"/>
  <c r="M261" i="34"/>
  <c r="L261" i="34"/>
  <c r="K261" i="34"/>
  <c r="J261" i="34"/>
  <c r="I261" i="34"/>
  <c r="H261" i="34"/>
  <c r="G261" i="34"/>
  <c r="F261" i="34"/>
  <c r="E261" i="34"/>
  <c r="D261" i="34"/>
  <c r="C261" i="34"/>
  <c r="B261" i="34"/>
  <c r="A261" i="34"/>
  <c r="AF260" i="34"/>
  <c r="AE260" i="34"/>
  <c r="AD260" i="34"/>
  <c r="AC260" i="34"/>
  <c r="AB260" i="34"/>
  <c r="AA260" i="34"/>
  <c r="Z260" i="34"/>
  <c r="Y260" i="34"/>
  <c r="X260" i="34"/>
  <c r="W260" i="34"/>
  <c r="V260" i="34"/>
  <c r="U260" i="34"/>
  <c r="T260" i="34"/>
  <c r="S260" i="34"/>
  <c r="R260" i="34"/>
  <c r="Q260" i="34"/>
  <c r="P260" i="34"/>
  <c r="O260" i="34"/>
  <c r="N260" i="34"/>
  <c r="M260" i="34"/>
  <c r="L260" i="34"/>
  <c r="K260" i="34"/>
  <c r="J260" i="34"/>
  <c r="I260" i="34"/>
  <c r="H260" i="34"/>
  <c r="G260" i="34"/>
  <c r="F260" i="34"/>
  <c r="E260" i="34"/>
  <c r="D260" i="34"/>
  <c r="C260" i="34"/>
  <c r="B260" i="34"/>
  <c r="A260" i="34"/>
  <c r="AF259" i="34"/>
  <c r="AE259" i="34"/>
  <c r="AD259" i="34"/>
  <c r="AC259" i="34"/>
  <c r="AB259" i="34"/>
  <c r="AA259" i="34"/>
  <c r="Z259" i="34"/>
  <c r="Y259" i="34"/>
  <c r="X259" i="34"/>
  <c r="W259" i="34"/>
  <c r="V259" i="34"/>
  <c r="U259" i="34"/>
  <c r="T259" i="34"/>
  <c r="S259" i="34"/>
  <c r="R259" i="34"/>
  <c r="Q259" i="34"/>
  <c r="P259" i="34"/>
  <c r="O259" i="34"/>
  <c r="N259" i="34"/>
  <c r="M259" i="34"/>
  <c r="L259" i="34"/>
  <c r="K259" i="34"/>
  <c r="J259" i="34"/>
  <c r="I259" i="34"/>
  <c r="H259" i="34"/>
  <c r="G259" i="34"/>
  <c r="F259" i="34"/>
  <c r="E259" i="34"/>
  <c r="D259" i="34"/>
  <c r="C259" i="34"/>
  <c r="B259" i="34"/>
  <c r="A259" i="34"/>
  <c r="AF258" i="34"/>
  <c r="AE258" i="34"/>
  <c r="AD258" i="34"/>
  <c r="AC258" i="34"/>
  <c r="AB258" i="34"/>
  <c r="AA258" i="34"/>
  <c r="Z258" i="34"/>
  <c r="Y258" i="34"/>
  <c r="X258" i="34"/>
  <c r="W258" i="34"/>
  <c r="V258" i="34"/>
  <c r="U258" i="34"/>
  <c r="T258" i="34"/>
  <c r="S258" i="34"/>
  <c r="R258" i="34"/>
  <c r="Q258" i="34"/>
  <c r="P258" i="34"/>
  <c r="O258" i="34"/>
  <c r="N258" i="34"/>
  <c r="M258" i="34"/>
  <c r="L258" i="34"/>
  <c r="K258" i="34"/>
  <c r="J258" i="34"/>
  <c r="I258" i="34"/>
  <c r="H258" i="34"/>
  <c r="G258" i="34"/>
  <c r="F258" i="34"/>
  <c r="E258" i="34"/>
  <c r="D258" i="34"/>
  <c r="C258" i="34"/>
  <c r="B258" i="34"/>
  <c r="A258" i="34"/>
  <c r="AE257" i="34"/>
  <c r="AD257" i="34"/>
  <c r="AC257" i="34"/>
  <c r="AB257" i="34"/>
  <c r="AA257" i="34"/>
  <c r="Z257" i="34"/>
  <c r="Y257" i="34"/>
  <c r="X257" i="34"/>
  <c r="W257" i="34"/>
  <c r="V257" i="34"/>
  <c r="U257" i="34"/>
  <c r="T257" i="34"/>
  <c r="S257" i="34"/>
  <c r="R257" i="34"/>
  <c r="Q257" i="34"/>
  <c r="P257" i="34"/>
  <c r="B257" i="34"/>
  <c r="S232" i="34"/>
  <c r="AG222" i="34"/>
  <c r="AF222" i="34"/>
  <c r="AE222" i="34"/>
  <c r="AD222" i="34"/>
  <c r="AC222" i="34"/>
  <c r="AB222" i="34"/>
  <c r="AA222" i="34"/>
  <c r="Z222" i="34"/>
  <c r="Y222" i="34"/>
  <c r="X222" i="34"/>
  <c r="W222" i="34"/>
  <c r="V222" i="34"/>
  <c r="U222" i="34"/>
  <c r="T222" i="34"/>
  <c r="S222" i="34"/>
  <c r="R222" i="34"/>
  <c r="Q222" i="34"/>
  <c r="C222" i="34"/>
  <c r="D221" i="34"/>
  <c r="C257" i="34" s="1"/>
  <c r="B221" i="34"/>
  <c r="AF257" i="34" s="1"/>
  <c r="D220" i="34"/>
  <c r="E220" i="34" s="1"/>
  <c r="F220" i="34" s="1"/>
  <c r="G220" i="34" s="1"/>
  <c r="H220" i="34" s="1"/>
  <c r="I220" i="34" s="1"/>
  <c r="J220" i="34" s="1"/>
  <c r="K220" i="34" s="1"/>
  <c r="L220" i="34" s="1"/>
  <c r="M220" i="34" s="1"/>
  <c r="N220" i="34" s="1"/>
  <c r="O220" i="34" s="1"/>
  <c r="P220" i="34" s="1"/>
  <c r="B220" i="34"/>
  <c r="D219" i="34"/>
  <c r="E219" i="34" s="1"/>
  <c r="F219" i="34" s="1"/>
  <c r="G219" i="34" s="1"/>
  <c r="H219" i="34" s="1"/>
  <c r="I219" i="34" s="1"/>
  <c r="J219" i="34" s="1"/>
  <c r="K219" i="34" s="1"/>
  <c r="L219" i="34" s="1"/>
  <c r="M219" i="34" s="1"/>
  <c r="N219" i="34" s="1"/>
  <c r="O219" i="34" s="1"/>
  <c r="P219" i="34" s="1"/>
  <c r="B219" i="34"/>
  <c r="F218" i="34"/>
  <c r="G218" i="34" s="1"/>
  <c r="H218" i="34" s="1"/>
  <c r="I218" i="34" s="1"/>
  <c r="J218" i="34" s="1"/>
  <c r="K218" i="34" s="1"/>
  <c r="L218" i="34" s="1"/>
  <c r="M218" i="34" s="1"/>
  <c r="N218" i="34" s="1"/>
  <c r="O218" i="34" s="1"/>
  <c r="P218" i="34" s="1"/>
  <c r="E218" i="34"/>
  <c r="D218" i="34"/>
  <c r="B218" i="34"/>
  <c r="D217" i="34"/>
  <c r="E217" i="34" s="1"/>
  <c r="F217" i="34" s="1"/>
  <c r="G217" i="34" s="1"/>
  <c r="H217" i="34" s="1"/>
  <c r="I217" i="34" s="1"/>
  <c r="J217" i="34" s="1"/>
  <c r="K217" i="34" s="1"/>
  <c r="L217" i="34" s="1"/>
  <c r="M217" i="34" s="1"/>
  <c r="N217" i="34" s="1"/>
  <c r="O217" i="34" s="1"/>
  <c r="P217" i="34" s="1"/>
  <c r="B217" i="34"/>
  <c r="D216" i="34"/>
  <c r="D222" i="34" s="1"/>
  <c r="B216" i="34"/>
  <c r="B222" i="34" s="1"/>
  <c r="AG214" i="34"/>
  <c r="AF214" i="34"/>
  <c r="AE214" i="34"/>
  <c r="AD214" i="34"/>
  <c r="AC214" i="34"/>
  <c r="AB214" i="34"/>
  <c r="AA214" i="34"/>
  <c r="Z214" i="34"/>
  <c r="Y214" i="34"/>
  <c r="X214" i="34"/>
  <c r="W214" i="34"/>
  <c r="V214" i="34"/>
  <c r="U214" i="34"/>
  <c r="T214" i="34"/>
  <c r="S214" i="34"/>
  <c r="R214" i="34"/>
  <c r="Q214" i="34"/>
  <c r="P214" i="34"/>
  <c r="O214" i="34"/>
  <c r="N214" i="34"/>
  <c r="M214" i="34"/>
  <c r="L214" i="34"/>
  <c r="K214" i="34"/>
  <c r="J214" i="34"/>
  <c r="I214" i="34"/>
  <c r="H214" i="34"/>
  <c r="G214" i="34"/>
  <c r="F214" i="34"/>
  <c r="E214" i="34"/>
  <c r="D214" i="34"/>
  <c r="C214" i="34"/>
  <c r="B214" i="34"/>
  <c r="AH107" i="34"/>
  <c r="AI107" i="34" s="1"/>
  <c r="AH106" i="34"/>
  <c r="AI106" i="34" s="1"/>
  <c r="AH105" i="34"/>
  <c r="AI105" i="34" s="1"/>
  <c r="AH104" i="34"/>
  <c r="AI104" i="34" s="1"/>
  <c r="AH103" i="34"/>
  <c r="AI103" i="34" s="1"/>
  <c r="AH102" i="34"/>
  <c r="AI102" i="34" s="1"/>
  <c r="AH100" i="34"/>
  <c r="AI100" i="34" s="1"/>
  <c r="AH99" i="34"/>
  <c r="AI99" i="34" s="1"/>
  <c r="AF98" i="34"/>
  <c r="AE98" i="34"/>
  <c r="AD98" i="34"/>
  <c r="AC98" i="34"/>
  <c r="AB98" i="34"/>
  <c r="AA98" i="34"/>
  <c r="Y98" i="34"/>
  <c r="X98" i="34"/>
  <c r="W98" i="34"/>
  <c r="V98" i="34"/>
  <c r="U98" i="34"/>
  <c r="T98" i="34"/>
  <c r="S98" i="34"/>
  <c r="R98" i="34"/>
  <c r="Q98" i="34"/>
  <c r="C98" i="34"/>
  <c r="AI96" i="34"/>
  <c r="AH96" i="34"/>
  <c r="AI95" i="34"/>
  <c r="AH95" i="34"/>
  <c r="AI94" i="34"/>
  <c r="AH94" i="34"/>
  <c r="AI93" i="34"/>
  <c r="AH93" i="34"/>
  <c r="AI92" i="34"/>
  <c r="AH92" i="34"/>
  <c r="AI91" i="34"/>
  <c r="AH91" i="34"/>
  <c r="AI90" i="34"/>
  <c r="AH90" i="34"/>
  <c r="AI89" i="34"/>
  <c r="AH89" i="34"/>
  <c r="AI86" i="34"/>
  <c r="AH86" i="34"/>
  <c r="AF85" i="34"/>
  <c r="AE85" i="34"/>
  <c r="AD85" i="34"/>
  <c r="AC85" i="34"/>
  <c r="AB85" i="34"/>
  <c r="AA85" i="34"/>
  <c r="Y85" i="34"/>
  <c r="X85" i="34"/>
  <c r="W85" i="34"/>
  <c r="V85" i="34"/>
  <c r="U85" i="34"/>
  <c r="T85" i="34"/>
  <c r="S85" i="34"/>
  <c r="R85" i="34"/>
  <c r="Q85" i="34"/>
  <c r="P85" i="34"/>
  <c r="O85" i="34"/>
  <c r="N85" i="34"/>
  <c r="M85" i="34"/>
  <c r="L85" i="34"/>
  <c r="K85" i="34"/>
  <c r="J85" i="34"/>
  <c r="I85" i="34"/>
  <c r="H85" i="34"/>
  <c r="G85" i="34"/>
  <c r="F85" i="34"/>
  <c r="E85" i="34"/>
  <c r="D85" i="34"/>
  <c r="C85" i="34"/>
  <c r="AF84" i="34"/>
  <c r="AF87" i="34" s="1"/>
  <c r="AE84" i="34"/>
  <c r="AD84" i="34"/>
  <c r="AC84" i="34"/>
  <c r="AB84" i="34"/>
  <c r="AA84" i="34"/>
  <c r="Y84" i="34"/>
  <c r="X84" i="34"/>
  <c r="W84" i="34"/>
  <c r="V84" i="34"/>
  <c r="U84" i="34"/>
  <c r="T84" i="34"/>
  <c r="S84" i="34"/>
  <c r="R84" i="34"/>
  <c r="Q84" i="34"/>
  <c r="P84" i="34"/>
  <c r="O84" i="34"/>
  <c r="N84" i="34"/>
  <c r="M84" i="34"/>
  <c r="L84" i="34"/>
  <c r="K84" i="34"/>
  <c r="J84" i="34"/>
  <c r="I84" i="34"/>
  <c r="H84" i="34"/>
  <c r="G84" i="34"/>
  <c r="F84" i="34"/>
  <c r="E84" i="34"/>
  <c r="D84" i="34"/>
  <c r="C84" i="34"/>
  <c r="AF83" i="34"/>
  <c r="AE83" i="34"/>
  <c r="AD83" i="34"/>
  <c r="AC83" i="34"/>
  <c r="AB83" i="34"/>
  <c r="AA83" i="34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AF82" i="34"/>
  <c r="AE82" i="34"/>
  <c r="AD82" i="34"/>
  <c r="AC82" i="34"/>
  <c r="AB82" i="34"/>
  <c r="AA82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AF81" i="34"/>
  <c r="AE81" i="34"/>
  <c r="AD81" i="34"/>
  <c r="AC81" i="34"/>
  <c r="AB81" i="34"/>
  <c r="AA81" i="34"/>
  <c r="Y81" i="34"/>
  <c r="X81" i="34"/>
  <c r="W81" i="34"/>
  <c r="V81" i="34"/>
  <c r="V87" i="34" s="1"/>
  <c r="U81" i="34"/>
  <c r="U87" i="34" s="1"/>
  <c r="T81" i="34"/>
  <c r="S81" i="34"/>
  <c r="R81" i="34"/>
  <c r="Q81" i="34"/>
  <c r="P81" i="34"/>
  <c r="P87" i="34" s="1"/>
  <c r="O81" i="34"/>
  <c r="N81" i="34"/>
  <c r="M81" i="34"/>
  <c r="L81" i="34"/>
  <c r="L87" i="34" s="1"/>
  <c r="K81" i="34"/>
  <c r="J81" i="34"/>
  <c r="I81" i="34"/>
  <c r="I87" i="34" s="1"/>
  <c r="H81" i="34"/>
  <c r="G81" i="34"/>
  <c r="F81" i="34"/>
  <c r="E81" i="34"/>
  <c r="D81" i="34"/>
  <c r="C81" i="34"/>
  <c r="AI78" i="34"/>
  <c r="AH78" i="34"/>
  <c r="AI76" i="34"/>
  <c r="AH76" i="34"/>
  <c r="AG76" i="34"/>
  <c r="AI75" i="34"/>
  <c r="AH75" i="34"/>
  <c r="AI74" i="34"/>
  <c r="AH74" i="34"/>
  <c r="AI73" i="34"/>
  <c r="AH73" i="34"/>
  <c r="AG72" i="34"/>
  <c r="AF72" i="34"/>
  <c r="AE5" i="34" s="1"/>
  <c r="AE72" i="34"/>
  <c r="AD5" i="34" s="1"/>
  <c r="AD72" i="34"/>
  <c r="AC5" i="34" s="1"/>
  <c r="AC72" i="34"/>
  <c r="AB72" i="34"/>
  <c r="AA72" i="34"/>
  <c r="Y72" i="34"/>
  <c r="X72" i="34"/>
  <c r="W5" i="34" s="1"/>
  <c r="W72" i="34"/>
  <c r="V72" i="34"/>
  <c r="U72" i="34"/>
  <c r="T72" i="34"/>
  <c r="S72" i="34"/>
  <c r="R72" i="34"/>
  <c r="Q5" i="34" s="1"/>
  <c r="Q72" i="34"/>
  <c r="P5" i="34" s="1"/>
  <c r="P72" i="34"/>
  <c r="O5" i="34" s="1"/>
  <c r="O72" i="34"/>
  <c r="N5" i="34" s="1"/>
  <c r="N72" i="34"/>
  <c r="M72" i="34"/>
  <c r="L72" i="34"/>
  <c r="K72" i="34"/>
  <c r="J72" i="34"/>
  <c r="I72" i="34"/>
  <c r="H5" i="34" s="1"/>
  <c r="H72" i="34"/>
  <c r="G5" i="34" s="1"/>
  <c r="G72" i="34"/>
  <c r="F5" i="34" s="1"/>
  <c r="F72" i="34"/>
  <c r="E72" i="34"/>
  <c r="D72" i="34"/>
  <c r="C72" i="34"/>
  <c r="AI71" i="34"/>
  <c r="AH71" i="34"/>
  <c r="AI70" i="34"/>
  <c r="AH70" i="34"/>
  <c r="AI69" i="34"/>
  <c r="AH69" i="34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G60" i="34"/>
  <c r="AF60" i="34"/>
  <c r="AE60" i="34"/>
  <c r="AD60" i="34"/>
  <c r="AC60" i="34"/>
  <c r="AB60" i="34"/>
  <c r="AA60" i="34"/>
  <c r="Y60" i="34"/>
  <c r="X60" i="34"/>
  <c r="W60" i="34"/>
  <c r="V60" i="34"/>
  <c r="U60" i="34"/>
  <c r="T60" i="34"/>
  <c r="S60" i="34"/>
  <c r="R60" i="34"/>
  <c r="P60" i="34"/>
  <c r="O60" i="34"/>
  <c r="N60" i="34"/>
  <c r="M60" i="34"/>
  <c r="L60" i="34"/>
  <c r="K60" i="34"/>
  <c r="J60" i="34"/>
  <c r="I60" i="34"/>
  <c r="H60" i="34"/>
  <c r="G60" i="34"/>
  <c r="F60" i="34"/>
  <c r="E60" i="34"/>
  <c r="D60" i="34"/>
  <c r="C60" i="34"/>
  <c r="AI59" i="34"/>
  <c r="AH59" i="34"/>
  <c r="AI58" i="34"/>
  <c r="AH58" i="34"/>
  <c r="AI57" i="34"/>
  <c r="AH57" i="34"/>
  <c r="AF56" i="34"/>
  <c r="AE56" i="34"/>
  <c r="AD56" i="34"/>
  <c r="AC56" i="34"/>
  <c r="AB56" i="34"/>
  <c r="AA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AI55" i="34"/>
  <c r="AH55" i="34"/>
  <c r="AG55" i="34"/>
  <c r="AG56" i="34" s="1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G42" i="34"/>
  <c r="AF42" i="34"/>
  <c r="AE42" i="34"/>
  <c r="AD42" i="34"/>
  <c r="AC42" i="34"/>
  <c r="AB42" i="34"/>
  <c r="AA42" i="34"/>
  <c r="Y42" i="34"/>
  <c r="X42" i="34"/>
  <c r="W42" i="34"/>
  <c r="V42" i="34"/>
  <c r="U42" i="34"/>
  <c r="T42" i="34"/>
  <c r="S42" i="34"/>
  <c r="R42" i="34"/>
  <c r="Q42" i="34"/>
  <c r="P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C42" i="34"/>
  <c r="AI41" i="34"/>
  <c r="AH41" i="34"/>
  <c r="AI40" i="34"/>
  <c r="AH40" i="34"/>
  <c r="AI39" i="34"/>
  <c r="AH39" i="34"/>
  <c r="AG38" i="34"/>
  <c r="AF38" i="34"/>
  <c r="AE38" i="34"/>
  <c r="AD38" i="34"/>
  <c r="AC38" i="34"/>
  <c r="AB38" i="34"/>
  <c r="AA38" i="34"/>
  <c r="Y38" i="34"/>
  <c r="X38" i="34"/>
  <c r="W38" i="34"/>
  <c r="W77" i="34" s="1"/>
  <c r="W79" i="34" s="1"/>
  <c r="V38" i="34"/>
  <c r="U38" i="34"/>
  <c r="T38" i="34"/>
  <c r="S38" i="34"/>
  <c r="R38" i="34"/>
  <c r="Q38" i="34"/>
  <c r="P38" i="34"/>
  <c r="O38" i="34"/>
  <c r="N38" i="34"/>
  <c r="M38" i="34"/>
  <c r="L38" i="34"/>
  <c r="K38" i="34"/>
  <c r="K77" i="34" s="1"/>
  <c r="K79" i="34" s="1"/>
  <c r="J38" i="34"/>
  <c r="I38" i="34"/>
  <c r="H38" i="34"/>
  <c r="G38" i="34"/>
  <c r="F38" i="34"/>
  <c r="E38" i="34"/>
  <c r="D38" i="34"/>
  <c r="C38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A5" i="34"/>
  <c r="Y5" i="34"/>
  <c r="X5" i="34"/>
  <c r="V5" i="34"/>
  <c r="L5" i="34"/>
  <c r="I5" i="34"/>
  <c r="AG4" i="34"/>
  <c r="K4" i="34"/>
  <c r="B4" i="34"/>
  <c r="S233" i="34" s="1"/>
  <c r="AG2" i="34"/>
  <c r="AE101" i="33"/>
  <c r="AE37" i="33"/>
  <c r="AD101" i="33"/>
  <c r="AD37" i="33"/>
  <c r="AC101" i="33"/>
  <c r="AC37" i="33"/>
  <c r="AB101" i="33"/>
  <c r="AB37" i="33"/>
  <c r="AA37" i="33"/>
  <c r="Y37" i="33"/>
  <c r="X37" i="33"/>
  <c r="W37" i="33"/>
  <c r="V37" i="33"/>
  <c r="U37" i="33"/>
  <c r="S37" i="33"/>
  <c r="R37" i="33"/>
  <c r="Q101" i="33"/>
  <c r="Q37" i="33"/>
  <c r="P101" i="33"/>
  <c r="P37" i="33"/>
  <c r="O101" i="33"/>
  <c r="O37" i="33"/>
  <c r="N101" i="33"/>
  <c r="N37" i="33"/>
  <c r="M101" i="33"/>
  <c r="M37" i="33"/>
  <c r="L101" i="33"/>
  <c r="L37" i="33"/>
  <c r="K37" i="33"/>
  <c r="K101" i="33"/>
  <c r="J101" i="33"/>
  <c r="J37" i="33"/>
  <c r="J72" i="33"/>
  <c r="I101" i="33"/>
  <c r="I37" i="33"/>
  <c r="H101" i="33"/>
  <c r="H37" i="33"/>
  <c r="G101" i="33"/>
  <c r="G37" i="33"/>
  <c r="F101" i="33"/>
  <c r="F37" i="33"/>
  <c r="E101" i="33"/>
  <c r="E37" i="33"/>
  <c r="D37" i="33"/>
  <c r="B37" i="33"/>
  <c r="B4" i="33"/>
  <c r="B4" i="22"/>
  <c r="AF261" i="33"/>
  <c r="AE261" i="33"/>
  <c r="AD261" i="33"/>
  <c r="AC261" i="33"/>
  <c r="AB261" i="33"/>
  <c r="AA261" i="33"/>
  <c r="Z261" i="33"/>
  <c r="Y261" i="33"/>
  <c r="X261" i="33"/>
  <c r="W261" i="33"/>
  <c r="V261" i="33"/>
  <c r="U261" i="33"/>
  <c r="T261" i="33"/>
  <c r="S261" i="33"/>
  <c r="R261" i="33"/>
  <c r="Q261" i="33"/>
  <c r="P261" i="33"/>
  <c r="O261" i="33"/>
  <c r="N261" i="33"/>
  <c r="M261" i="33"/>
  <c r="L261" i="33"/>
  <c r="K261" i="33"/>
  <c r="J261" i="33"/>
  <c r="I261" i="33"/>
  <c r="H261" i="33"/>
  <c r="G261" i="33"/>
  <c r="F261" i="33"/>
  <c r="E261" i="33"/>
  <c r="D261" i="33"/>
  <c r="C261" i="33"/>
  <c r="B261" i="33"/>
  <c r="A261" i="33"/>
  <c r="AF260" i="33"/>
  <c r="AE260" i="33"/>
  <c r="AD260" i="33"/>
  <c r="AC260" i="33"/>
  <c r="AB260" i="33"/>
  <c r="AA260" i="33"/>
  <c r="Z260" i="33"/>
  <c r="Y260" i="33"/>
  <c r="X260" i="33"/>
  <c r="W260" i="33"/>
  <c r="V260" i="33"/>
  <c r="U260" i="33"/>
  <c r="T260" i="33"/>
  <c r="S260" i="33"/>
  <c r="R260" i="33"/>
  <c r="Q260" i="33"/>
  <c r="P260" i="33"/>
  <c r="O260" i="33"/>
  <c r="N260" i="33"/>
  <c r="M260" i="33"/>
  <c r="L260" i="33"/>
  <c r="K260" i="33"/>
  <c r="J260" i="33"/>
  <c r="I260" i="33"/>
  <c r="H260" i="33"/>
  <c r="G260" i="33"/>
  <c r="F260" i="33"/>
  <c r="E260" i="33"/>
  <c r="D260" i="33"/>
  <c r="C260" i="33"/>
  <c r="B260" i="33"/>
  <c r="A260" i="33"/>
  <c r="AF259" i="33"/>
  <c r="AE259" i="33"/>
  <c r="AD259" i="33"/>
  <c r="AC259" i="33"/>
  <c r="AB259" i="33"/>
  <c r="AA259" i="33"/>
  <c r="Z259" i="33"/>
  <c r="Y259" i="33"/>
  <c r="X259" i="33"/>
  <c r="W259" i="33"/>
  <c r="V259" i="33"/>
  <c r="U259" i="33"/>
  <c r="T259" i="33"/>
  <c r="S259" i="33"/>
  <c r="R259" i="33"/>
  <c r="Q259" i="33"/>
  <c r="P259" i="33"/>
  <c r="O259" i="33"/>
  <c r="N259" i="33"/>
  <c r="M259" i="33"/>
  <c r="L259" i="33"/>
  <c r="K259" i="33"/>
  <c r="J259" i="33"/>
  <c r="I259" i="33"/>
  <c r="H259" i="33"/>
  <c r="G259" i="33"/>
  <c r="F259" i="33"/>
  <c r="E259" i="33"/>
  <c r="D259" i="33"/>
  <c r="C259" i="33"/>
  <c r="B259" i="33"/>
  <c r="A259" i="33"/>
  <c r="AF258" i="33"/>
  <c r="AE258" i="33"/>
  <c r="AD258" i="33"/>
  <c r="AC258" i="33"/>
  <c r="AB258" i="33"/>
  <c r="AA258" i="33"/>
  <c r="Z258" i="33"/>
  <c r="Y258" i="33"/>
  <c r="X258" i="33"/>
  <c r="W258" i="33"/>
  <c r="V258" i="33"/>
  <c r="U258" i="33"/>
  <c r="T258" i="33"/>
  <c r="S258" i="33"/>
  <c r="R258" i="33"/>
  <c r="Q258" i="33"/>
  <c r="P258" i="33"/>
  <c r="O258" i="33"/>
  <c r="N258" i="33"/>
  <c r="M258" i="33"/>
  <c r="L258" i="33"/>
  <c r="K258" i="33"/>
  <c r="J258" i="33"/>
  <c r="I258" i="33"/>
  <c r="H258" i="33"/>
  <c r="G258" i="33"/>
  <c r="F258" i="33"/>
  <c r="E258" i="33"/>
  <c r="D258" i="33"/>
  <c r="C258" i="33"/>
  <c r="B258" i="33"/>
  <c r="A258" i="33"/>
  <c r="AE257" i="33"/>
  <c r="AD257" i="33"/>
  <c r="AC257" i="33"/>
  <c r="AB257" i="33"/>
  <c r="AA257" i="33"/>
  <c r="Z257" i="33"/>
  <c r="Y257" i="33"/>
  <c r="X257" i="33"/>
  <c r="W257" i="33"/>
  <c r="V257" i="33"/>
  <c r="U257" i="33"/>
  <c r="T257" i="33"/>
  <c r="S257" i="33"/>
  <c r="R257" i="33"/>
  <c r="Q257" i="33"/>
  <c r="P257" i="33"/>
  <c r="B257" i="33"/>
  <c r="S232" i="33"/>
  <c r="AG222" i="33"/>
  <c r="AF222" i="33"/>
  <c r="AE222" i="33"/>
  <c r="AD222" i="33"/>
  <c r="AC222" i="33"/>
  <c r="AB222" i="33"/>
  <c r="AA222" i="33"/>
  <c r="Z222" i="33"/>
  <c r="Y222" i="33"/>
  <c r="X222" i="33"/>
  <c r="W222" i="33"/>
  <c r="V222" i="33"/>
  <c r="U222" i="33"/>
  <c r="T222" i="33"/>
  <c r="S222" i="33"/>
  <c r="R222" i="33"/>
  <c r="Q222" i="33"/>
  <c r="C222" i="33"/>
  <c r="D221" i="33"/>
  <c r="E221" i="33" s="1"/>
  <c r="D257" i="33" s="1"/>
  <c r="B221" i="33"/>
  <c r="AF257" i="33" s="1"/>
  <c r="D220" i="33"/>
  <c r="E220" i="33" s="1"/>
  <c r="F220" i="33" s="1"/>
  <c r="G220" i="33" s="1"/>
  <c r="H220" i="33" s="1"/>
  <c r="I220" i="33" s="1"/>
  <c r="J220" i="33" s="1"/>
  <c r="K220" i="33" s="1"/>
  <c r="L220" i="33" s="1"/>
  <c r="M220" i="33" s="1"/>
  <c r="N220" i="33" s="1"/>
  <c r="O220" i="33" s="1"/>
  <c r="P220" i="33" s="1"/>
  <c r="B220" i="33"/>
  <c r="D219" i="33"/>
  <c r="E219" i="33" s="1"/>
  <c r="F219" i="33" s="1"/>
  <c r="G219" i="33" s="1"/>
  <c r="H219" i="33" s="1"/>
  <c r="I219" i="33" s="1"/>
  <c r="J219" i="33" s="1"/>
  <c r="K219" i="33" s="1"/>
  <c r="L219" i="33" s="1"/>
  <c r="M219" i="33" s="1"/>
  <c r="N219" i="33" s="1"/>
  <c r="O219" i="33" s="1"/>
  <c r="P219" i="33" s="1"/>
  <c r="B219" i="33"/>
  <c r="E218" i="33"/>
  <c r="F218" i="33" s="1"/>
  <c r="G218" i="33" s="1"/>
  <c r="H218" i="33" s="1"/>
  <c r="I218" i="33" s="1"/>
  <c r="J218" i="33" s="1"/>
  <c r="K218" i="33" s="1"/>
  <c r="L218" i="33" s="1"/>
  <c r="M218" i="33" s="1"/>
  <c r="N218" i="33" s="1"/>
  <c r="O218" i="33" s="1"/>
  <c r="P218" i="33" s="1"/>
  <c r="D218" i="33"/>
  <c r="B218" i="33"/>
  <c r="D217" i="33"/>
  <c r="E217" i="33" s="1"/>
  <c r="F217" i="33" s="1"/>
  <c r="G217" i="33" s="1"/>
  <c r="H217" i="33" s="1"/>
  <c r="I217" i="33" s="1"/>
  <c r="J217" i="33" s="1"/>
  <c r="K217" i="33" s="1"/>
  <c r="L217" i="33" s="1"/>
  <c r="M217" i="33" s="1"/>
  <c r="N217" i="33" s="1"/>
  <c r="O217" i="33" s="1"/>
  <c r="P217" i="33" s="1"/>
  <c r="B217" i="33"/>
  <c r="D216" i="33"/>
  <c r="B216" i="33"/>
  <c r="AG214" i="33"/>
  <c r="AF214" i="33"/>
  <c r="AE214" i="33"/>
  <c r="AD214" i="33"/>
  <c r="AC214" i="33"/>
  <c r="AB214" i="33"/>
  <c r="AA214" i="33"/>
  <c r="Z214" i="33"/>
  <c r="Y214" i="33"/>
  <c r="X214" i="33"/>
  <c r="W214" i="33"/>
  <c r="V214" i="33"/>
  <c r="U214" i="33"/>
  <c r="T214" i="33"/>
  <c r="S214" i="33"/>
  <c r="R214" i="33"/>
  <c r="Q214" i="33"/>
  <c r="P214" i="33"/>
  <c r="O214" i="33"/>
  <c r="N214" i="33"/>
  <c r="M214" i="33"/>
  <c r="L214" i="33"/>
  <c r="K214" i="33"/>
  <c r="J214" i="33"/>
  <c r="I214" i="33"/>
  <c r="H214" i="33"/>
  <c r="G214" i="33"/>
  <c r="F214" i="33"/>
  <c r="E214" i="33"/>
  <c r="D214" i="33"/>
  <c r="C214" i="33"/>
  <c r="B214" i="33"/>
  <c r="AH107" i="33"/>
  <c r="AI107" i="33" s="1"/>
  <c r="AH106" i="33"/>
  <c r="AI106" i="33" s="1"/>
  <c r="AH105" i="33"/>
  <c r="AI105" i="33" s="1"/>
  <c r="AH104" i="33"/>
  <c r="AI104" i="33" s="1"/>
  <c r="AH103" i="33"/>
  <c r="AI103" i="33" s="1"/>
  <c r="AH102" i="33"/>
  <c r="AI102" i="33" s="1"/>
  <c r="AH100" i="33"/>
  <c r="AI100" i="33" s="1"/>
  <c r="AH99" i="33"/>
  <c r="AI99" i="33" s="1"/>
  <c r="AF98" i="33"/>
  <c r="AE98" i="33"/>
  <c r="AD98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C98" i="33"/>
  <c r="AI97" i="33"/>
  <c r="AH97" i="33"/>
  <c r="AI96" i="33"/>
  <c r="AH96" i="33"/>
  <c r="AI95" i="33"/>
  <c r="AH95" i="33"/>
  <c r="AI94" i="33"/>
  <c r="AH94" i="33"/>
  <c r="AI93" i="33"/>
  <c r="AH93" i="33"/>
  <c r="AI92" i="33"/>
  <c r="AH92" i="33"/>
  <c r="AI91" i="33"/>
  <c r="AH91" i="33"/>
  <c r="AI90" i="33"/>
  <c r="AH90" i="33"/>
  <c r="AI89" i="33"/>
  <c r="AH89" i="33"/>
  <c r="AI86" i="33"/>
  <c r="AH86" i="33"/>
  <c r="AF85" i="33"/>
  <c r="AE85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M85" i="33"/>
  <c r="L85" i="33"/>
  <c r="K85" i="33"/>
  <c r="J85" i="33"/>
  <c r="I85" i="33"/>
  <c r="H85" i="33"/>
  <c r="G85" i="33"/>
  <c r="F85" i="33"/>
  <c r="E85" i="33"/>
  <c r="D85" i="33"/>
  <c r="C85" i="33"/>
  <c r="B85" i="33"/>
  <c r="AF84" i="33"/>
  <c r="AE84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M84" i="33"/>
  <c r="L84" i="33"/>
  <c r="K84" i="33"/>
  <c r="J84" i="33"/>
  <c r="I84" i="33"/>
  <c r="H84" i="33"/>
  <c r="G84" i="33"/>
  <c r="F84" i="33"/>
  <c r="E84" i="33"/>
  <c r="D84" i="33"/>
  <c r="C84" i="33"/>
  <c r="B84" i="33"/>
  <c r="AF83" i="33"/>
  <c r="AE83" i="33"/>
  <c r="AD83" i="33"/>
  <c r="AC83" i="33"/>
  <c r="AB83" i="33"/>
  <c r="AA83" i="33"/>
  <c r="Z83" i="33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AF82" i="33"/>
  <c r="AE82" i="33"/>
  <c r="AD82" i="33"/>
  <c r="AC82" i="33"/>
  <c r="AB82" i="33"/>
  <c r="AA82" i="33"/>
  <c r="Z82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AF81" i="33"/>
  <c r="AE81" i="33"/>
  <c r="AD81" i="33"/>
  <c r="AC81" i="33"/>
  <c r="AB81" i="33"/>
  <c r="AA81" i="33"/>
  <c r="Z81" i="33"/>
  <c r="Y81" i="33"/>
  <c r="X81" i="33"/>
  <c r="W81" i="33"/>
  <c r="V81" i="33"/>
  <c r="U81" i="33"/>
  <c r="T81" i="33"/>
  <c r="S81" i="33"/>
  <c r="R81" i="33"/>
  <c r="R87" i="33" s="1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AI78" i="33"/>
  <c r="AH78" i="33"/>
  <c r="AI76" i="33"/>
  <c r="AH76" i="33"/>
  <c r="AG76" i="33"/>
  <c r="AI75" i="33"/>
  <c r="AH75" i="33"/>
  <c r="AI74" i="33"/>
  <c r="AH74" i="33"/>
  <c r="AI73" i="33"/>
  <c r="AH73" i="33"/>
  <c r="AG72" i="33"/>
  <c r="AF72" i="33"/>
  <c r="AE5" i="33" s="1"/>
  <c r="AE72" i="33"/>
  <c r="AD5" i="33" s="1"/>
  <c r="AD72" i="33"/>
  <c r="AC5" i="33" s="1"/>
  <c r="AC72" i="33"/>
  <c r="AB5" i="33" s="1"/>
  <c r="AB72" i="33"/>
  <c r="AA5" i="33" s="1"/>
  <c r="AA72" i="33"/>
  <c r="Z5" i="33" s="1"/>
  <c r="Z72" i="33"/>
  <c r="Y72" i="33"/>
  <c r="X72" i="33"/>
  <c r="W72" i="33"/>
  <c r="V5" i="33" s="1"/>
  <c r="V72" i="33"/>
  <c r="U5" i="33" s="1"/>
  <c r="U72" i="33"/>
  <c r="T5" i="33" s="1"/>
  <c r="T72" i="33"/>
  <c r="S5" i="33" s="1"/>
  <c r="S72" i="33"/>
  <c r="R5" i="33" s="1"/>
  <c r="R72" i="33"/>
  <c r="Q72" i="33"/>
  <c r="P72" i="33"/>
  <c r="O72" i="33"/>
  <c r="N5" i="33" s="1"/>
  <c r="N72" i="33"/>
  <c r="M5" i="33" s="1"/>
  <c r="M72" i="33"/>
  <c r="L5" i="33" s="1"/>
  <c r="L72" i="33"/>
  <c r="K5" i="33" s="1"/>
  <c r="K72" i="33"/>
  <c r="J5" i="33" s="1"/>
  <c r="I72" i="33"/>
  <c r="H72" i="33"/>
  <c r="G5" i="33" s="1"/>
  <c r="G72" i="33"/>
  <c r="F72" i="33"/>
  <c r="E5" i="33" s="1"/>
  <c r="E72" i="33"/>
  <c r="D5" i="33" s="1"/>
  <c r="D72" i="33"/>
  <c r="C5" i="33" s="1"/>
  <c r="C72" i="33"/>
  <c r="B5" i="33" s="1"/>
  <c r="B72" i="33"/>
  <c r="AI71" i="33"/>
  <c r="AH71" i="33"/>
  <c r="AI70" i="33"/>
  <c r="AH70" i="33"/>
  <c r="AI69" i="33"/>
  <c r="AH69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G60" i="33"/>
  <c r="AG4" i="33" s="1"/>
  <c r="AF60" i="33"/>
  <c r="AE60" i="33"/>
  <c r="AD60" i="33"/>
  <c r="AC60" i="33"/>
  <c r="AB60" i="33"/>
  <c r="AA60" i="33"/>
  <c r="Z60" i="33"/>
  <c r="Y60" i="33"/>
  <c r="X60" i="33"/>
  <c r="W60" i="33"/>
  <c r="V60" i="33"/>
  <c r="U60" i="33"/>
  <c r="T60" i="33"/>
  <c r="S60" i="33"/>
  <c r="R60" i="33"/>
  <c r="Q60" i="33"/>
  <c r="P60" i="33"/>
  <c r="O60" i="33"/>
  <c r="N60" i="33"/>
  <c r="M60" i="33"/>
  <c r="L60" i="33"/>
  <c r="K60" i="33"/>
  <c r="J60" i="33"/>
  <c r="I60" i="33"/>
  <c r="H60" i="33"/>
  <c r="G60" i="33"/>
  <c r="F60" i="33"/>
  <c r="E60" i="33"/>
  <c r="D60" i="33"/>
  <c r="C60" i="33"/>
  <c r="B60" i="33"/>
  <c r="AI59" i="33"/>
  <c r="AH59" i="33"/>
  <c r="AI58" i="33"/>
  <c r="AH58" i="33"/>
  <c r="AI57" i="33"/>
  <c r="AH57" i="33"/>
  <c r="AF56" i="33"/>
  <c r="AE56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AI55" i="33"/>
  <c r="AH55" i="33"/>
  <c r="AG55" i="33"/>
  <c r="AG56" i="33" s="1"/>
  <c r="AG3" i="33" s="1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G42" i="33"/>
  <c r="AF42" i="33"/>
  <c r="AE42" i="33"/>
  <c r="AD42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D42" i="33"/>
  <c r="C42" i="33"/>
  <c r="B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Y38" i="33"/>
  <c r="X38" i="33"/>
  <c r="X77" i="33" s="1"/>
  <c r="X79" i="33" s="1"/>
  <c r="W38" i="33"/>
  <c r="V38" i="33"/>
  <c r="U38" i="33"/>
  <c r="T38" i="33"/>
  <c r="S38" i="33"/>
  <c r="R38" i="33"/>
  <c r="Q38" i="33"/>
  <c r="P38" i="33"/>
  <c r="P77" i="33" s="1"/>
  <c r="P79" i="33" s="1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AI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W5" i="33"/>
  <c r="O5" i="33"/>
  <c r="K4" i="33"/>
  <c r="AG2" i="33"/>
  <c r="AF37" i="32"/>
  <c r="AE37" i="32"/>
  <c r="AD101" i="32"/>
  <c r="AD37" i="32"/>
  <c r="AC101" i="32"/>
  <c r="AC37" i="32"/>
  <c r="AB100" i="32"/>
  <c r="AB37" i="32"/>
  <c r="AA37" i="32"/>
  <c r="Y101" i="32"/>
  <c r="Y37" i="32"/>
  <c r="X101" i="32"/>
  <c r="X37" i="32"/>
  <c r="W101" i="32"/>
  <c r="W37" i="32"/>
  <c r="V101" i="32"/>
  <c r="V37" i="32"/>
  <c r="U37" i="32"/>
  <c r="T37" i="32"/>
  <c r="S42" i="32"/>
  <c r="S37" i="32"/>
  <c r="E4" i="33"/>
  <c r="E4" i="35"/>
  <c r="E4" i="34"/>
  <c r="H257" i="36" l="1"/>
  <c r="J221" i="36"/>
  <c r="I216" i="36"/>
  <c r="H222" i="36"/>
  <c r="H98" i="36"/>
  <c r="AF87" i="35"/>
  <c r="AF77" i="35"/>
  <c r="AF79" i="35" s="1"/>
  <c r="AF80" i="35" s="1"/>
  <c r="AE87" i="35"/>
  <c r="AE88" i="35"/>
  <c r="AE77" i="35"/>
  <c r="AE79" i="35" s="1"/>
  <c r="AD77" i="35"/>
  <c r="AD79" i="35" s="1"/>
  <c r="AD87" i="35"/>
  <c r="AC87" i="35"/>
  <c r="AC88" i="35" s="1"/>
  <c r="AC77" i="35"/>
  <c r="AC79" i="35" s="1"/>
  <c r="AC7" i="35" s="1"/>
  <c r="AB87" i="35"/>
  <c r="AB88" i="35"/>
  <c r="AB77" i="35"/>
  <c r="AB79" i="35" s="1"/>
  <c r="AA87" i="35"/>
  <c r="AA88" i="35" s="1"/>
  <c r="Z5" i="35"/>
  <c r="AA77" i="35"/>
  <c r="AA79" i="35" s="1"/>
  <c r="AS236" i="35" s="1"/>
  <c r="Y77" i="35"/>
  <c r="Y79" i="35" s="1"/>
  <c r="Y87" i="35"/>
  <c r="Y88" i="35" s="1"/>
  <c r="X5" i="35"/>
  <c r="X87" i="35"/>
  <c r="X77" i="35"/>
  <c r="X79" i="35" s="1"/>
  <c r="W87" i="35"/>
  <c r="V77" i="35"/>
  <c r="V79" i="35" s="1"/>
  <c r="W77" i="35"/>
  <c r="W79" i="35" s="1"/>
  <c r="W88" i="35"/>
  <c r="U87" i="35"/>
  <c r="U88" i="35" s="1"/>
  <c r="U77" i="35"/>
  <c r="U79" i="35" s="1"/>
  <c r="T87" i="35"/>
  <c r="T88" i="35" s="1"/>
  <c r="T77" i="35"/>
  <c r="T79" i="35" s="1"/>
  <c r="S88" i="35"/>
  <c r="R5" i="35"/>
  <c r="P87" i="35"/>
  <c r="O87" i="35"/>
  <c r="O77" i="35"/>
  <c r="O79" i="35" s="1"/>
  <c r="Q5" i="35"/>
  <c r="P77" i="35"/>
  <c r="P79" i="35" s="1"/>
  <c r="Q87" i="35"/>
  <c r="Q88" i="35" s="1"/>
  <c r="Q77" i="35"/>
  <c r="Q79" i="35" s="1"/>
  <c r="Q7" i="35" s="1"/>
  <c r="R87" i="35"/>
  <c r="R88" i="35" s="1"/>
  <c r="O88" i="35"/>
  <c r="N87" i="35"/>
  <c r="N77" i="35"/>
  <c r="N79" i="35" s="1"/>
  <c r="AH101" i="35"/>
  <c r="AI101" i="35" s="1"/>
  <c r="M88" i="35"/>
  <c r="L5" i="35"/>
  <c r="M77" i="35"/>
  <c r="M79" i="35" s="1"/>
  <c r="L88" i="35"/>
  <c r="K5" i="35"/>
  <c r="K87" i="35"/>
  <c r="K88" i="35" s="1"/>
  <c r="K77" i="35"/>
  <c r="K79" i="35" s="1"/>
  <c r="J87" i="35"/>
  <c r="J88" i="35" s="1"/>
  <c r="I87" i="35"/>
  <c r="I88" i="35" s="1"/>
  <c r="I77" i="35"/>
  <c r="I79" i="35" s="1"/>
  <c r="I7" i="35" s="1"/>
  <c r="J77" i="35"/>
  <c r="J79" i="35" s="1"/>
  <c r="I5" i="35"/>
  <c r="H87" i="35"/>
  <c r="H88" i="35" s="1"/>
  <c r="H77" i="35"/>
  <c r="H79" i="35" s="1"/>
  <c r="H7" i="35" s="1"/>
  <c r="G87" i="35"/>
  <c r="G88" i="35" s="1"/>
  <c r="AI84" i="35"/>
  <c r="F5" i="35"/>
  <c r="G77" i="35"/>
  <c r="G79" i="35" s="1"/>
  <c r="G7" i="35" s="1"/>
  <c r="F87" i="35"/>
  <c r="F88" i="35" s="1"/>
  <c r="F77" i="35"/>
  <c r="F79" i="35" s="1"/>
  <c r="F80" i="35" s="1"/>
  <c r="E87" i="35"/>
  <c r="E88" i="35" s="1"/>
  <c r="D5" i="35"/>
  <c r="E77" i="35"/>
  <c r="E79" i="35" s="1"/>
  <c r="W236" i="35" s="1"/>
  <c r="AI42" i="35"/>
  <c r="D87" i="35"/>
  <c r="D88" i="35" s="1"/>
  <c r="AI60" i="35"/>
  <c r="D77" i="35"/>
  <c r="D79" i="35" s="1"/>
  <c r="AI83" i="35"/>
  <c r="AI81" i="35"/>
  <c r="C87" i="35"/>
  <c r="AI82" i="35"/>
  <c r="AI85" i="35"/>
  <c r="C88" i="35"/>
  <c r="C77" i="35"/>
  <c r="C79" i="35" s="1"/>
  <c r="C80" i="35" s="1"/>
  <c r="AI56" i="35"/>
  <c r="AI38" i="35"/>
  <c r="H4" i="35"/>
  <c r="M80" i="35"/>
  <c r="AE236" i="35"/>
  <c r="M7" i="35"/>
  <c r="U80" i="35"/>
  <c r="AM236" i="35"/>
  <c r="U7" i="35"/>
  <c r="AU236" i="35"/>
  <c r="N80" i="35"/>
  <c r="AF236" i="35"/>
  <c r="N7" i="35"/>
  <c r="V80" i="35"/>
  <c r="AN236" i="35"/>
  <c r="V7" i="35"/>
  <c r="AD80" i="35"/>
  <c r="AV236" i="35"/>
  <c r="AD7" i="35"/>
  <c r="AG236" i="35"/>
  <c r="O7" i="35"/>
  <c r="O80" i="35"/>
  <c r="AO236" i="35"/>
  <c r="W7" i="35"/>
  <c r="W80" i="35"/>
  <c r="AW236" i="35"/>
  <c r="AE7" i="35"/>
  <c r="AE80" i="35"/>
  <c r="P7" i="35"/>
  <c r="P80" i="35"/>
  <c r="AH236" i="35"/>
  <c r="X7" i="35"/>
  <c r="X80" i="35"/>
  <c r="AP236" i="35"/>
  <c r="AF7" i="35"/>
  <c r="AG6" i="35"/>
  <c r="Y7" i="35"/>
  <c r="Y80" i="35"/>
  <c r="AQ236" i="35"/>
  <c r="AG77" i="35"/>
  <c r="R80" i="35"/>
  <c r="AJ236" i="35"/>
  <c r="R7" i="35"/>
  <c r="AR236" i="35"/>
  <c r="Z7" i="35"/>
  <c r="N88" i="35"/>
  <c r="V88" i="35"/>
  <c r="AD88" i="35"/>
  <c r="K80" i="35"/>
  <c r="AC236" i="35"/>
  <c r="K7" i="35"/>
  <c r="S80" i="35"/>
  <c r="AK236" i="35"/>
  <c r="S7" i="35"/>
  <c r="AA80" i="35"/>
  <c r="L80" i="35"/>
  <c r="AD236" i="35"/>
  <c r="L7" i="35"/>
  <c r="T80" i="35"/>
  <c r="AL236" i="35"/>
  <c r="T7" i="35"/>
  <c r="AB80" i="35"/>
  <c r="AT236" i="35"/>
  <c r="AB7" i="35"/>
  <c r="P88" i="35"/>
  <c r="X88" i="35"/>
  <c r="AF88" i="35"/>
  <c r="AG79" i="35"/>
  <c r="F216" i="35"/>
  <c r="E98" i="35"/>
  <c r="E222" i="35"/>
  <c r="D233" i="35"/>
  <c r="AH56" i="35"/>
  <c r="AH60" i="35"/>
  <c r="AH72" i="35"/>
  <c r="AH81" i="35"/>
  <c r="B87" i="35"/>
  <c r="B88" i="35" s="1"/>
  <c r="AI72" i="35"/>
  <c r="AH82" i="35"/>
  <c r="G221" i="35"/>
  <c r="AH83" i="35"/>
  <c r="AH38" i="35"/>
  <c r="AH42" i="35"/>
  <c r="B77" i="35"/>
  <c r="AH84" i="35"/>
  <c r="AH85" i="35"/>
  <c r="B98" i="35"/>
  <c r="AF77" i="34"/>
  <c r="AF79" i="34" s="1"/>
  <c r="AE87" i="34"/>
  <c r="AE88" i="34" s="1"/>
  <c r="AE77" i="34"/>
  <c r="AE79" i="34" s="1"/>
  <c r="AD77" i="34"/>
  <c r="AD79" i="34" s="1"/>
  <c r="AD87" i="34"/>
  <c r="AD88" i="34" s="1"/>
  <c r="AC87" i="34"/>
  <c r="AC88" i="34" s="1"/>
  <c r="AB5" i="34"/>
  <c r="AC77" i="34"/>
  <c r="AC79" i="34" s="1"/>
  <c r="AC80" i="34" s="1"/>
  <c r="Z97" i="34" s="1"/>
  <c r="AB87" i="34"/>
  <c r="AB88" i="34" s="1"/>
  <c r="AB77" i="34"/>
  <c r="AB79" i="34" s="1"/>
  <c r="AA87" i="34"/>
  <c r="AA88" i="34" s="1"/>
  <c r="Z5" i="34"/>
  <c r="AA77" i="34"/>
  <c r="AA79" i="34" s="1"/>
  <c r="Y87" i="34"/>
  <c r="Y77" i="34"/>
  <c r="Y79" i="34" s="1"/>
  <c r="X87" i="34"/>
  <c r="AH101" i="34"/>
  <c r="AI101" i="34" s="1"/>
  <c r="W87" i="34"/>
  <c r="W88" i="34" s="1"/>
  <c r="X77" i="34"/>
  <c r="X79" i="34" s="1"/>
  <c r="V88" i="34"/>
  <c r="U5" i="34"/>
  <c r="V77" i="34"/>
  <c r="V79" i="34" s="1"/>
  <c r="U88" i="34"/>
  <c r="T5" i="34"/>
  <c r="U77" i="34"/>
  <c r="U79" i="34" s="1"/>
  <c r="T87" i="34"/>
  <c r="T88" i="34" s="1"/>
  <c r="S5" i="34"/>
  <c r="T77" i="34"/>
  <c r="T79" i="34" s="1"/>
  <c r="S87" i="34"/>
  <c r="S88" i="34" s="1"/>
  <c r="R5" i="34"/>
  <c r="S77" i="34"/>
  <c r="S79" i="34" s="1"/>
  <c r="R87" i="34"/>
  <c r="R88" i="34"/>
  <c r="R77" i="34"/>
  <c r="R79" i="34" s="1"/>
  <c r="Q87" i="34"/>
  <c r="Q77" i="34"/>
  <c r="Q79" i="34" s="1"/>
  <c r="P77" i="34"/>
  <c r="P79" i="34" s="1"/>
  <c r="O87" i="34"/>
  <c r="O88" i="34" s="1"/>
  <c r="O77" i="34"/>
  <c r="O79" i="34" s="1"/>
  <c r="N87" i="34"/>
  <c r="N88" i="34" s="1"/>
  <c r="M5" i="34"/>
  <c r="N77" i="34"/>
  <c r="N79" i="34" s="1"/>
  <c r="M87" i="34"/>
  <c r="M88" i="34" s="1"/>
  <c r="M77" i="34"/>
  <c r="M79" i="34" s="1"/>
  <c r="L88" i="34"/>
  <c r="K5" i="34"/>
  <c r="L77" i="34"/>
  <c r="L79" i="34" s="1"/>
  <c r="K87" i="34"/>
  <c r="K88" i="34" s="1"/>
  <c r="J5" i="34"/>
  <c r="J87" i="34"/>
  <c r="J88" i="34"/>
  <c r="AI60" i="34"/>
  <c r="J77" i="34"/>
  <c r="J79" i="34" s="1"/>
  <c r="AI81" i="34"/>
  <c r="I77" i="34"/>
  <c r="I79" i="34" s="1"/>
  <c r="I7" i="34" s="1"/>
  <c r="H87" i="34"/>
  <c r="H77" i="34"/>
  <c r="H79" i="34" s="1"/>
  <c r="H80" i="34" s="1"/>
  <c r="G87" i="34"/>
  <c r="G88" i="34" s="1"/>
  <c r="G77" i="34"/>
  <c r="G79" i="34" s="1"/>
  <c r="F77" i="34"/>
  <c r="F79" i="34" s="1"/>
  <c r="F87" i="34"/>
  <c r="F88" i="34" s="1"/>
  <c r="E5" i="34"/>
  <c r="AI84" i="34"/>
  <c r="E87" i="34"/>
  <c r="E88" i="34" s="1"/>
  <c r="D5" i="34"/>
  <c r="E77" i="34"/>
  <c r="E79" i="34" s="1"/>
  <c r="E80" i="34" s="1"/>
  <c r="D98" i="34"/>
  <c r="C5" i="34"/>
  <c r="D87" i="34"/>
  <c r="D88" i="34" s="1"/>
  <c r="AI83" i="34"/>
  <c r="D77" i="34"/>
  <c r="D79" i="34" s="1"/>
  <c r="AI42" i="34"/>
  <c r="AI37" i="34"/>
  <c r="B87" i="34"/>
  <c r="AI82" i="34"/>
  <c r="C87" i="34"/>
  <c r="C88" i="34" s="1"/>
  <c r="AI85" i="34"/>
  <c r="C77" i="34"/>
  <c r="C79" i="34" s="1"/>
  <c r="C80" i="34" s="1"/>
  <c r="B5" i="34"/>
  <c r="AI56" i="34"/>
  <c r="AH37" i="34"/>
  <c r="AI38" i="34"/>
  <c r="B88" i="34"/>
  <c r="B77" i="34"/>
  <c r="B79" i="34" s="1"/>
  <c r="B80" i="34" s="1"/>
  <c r="AF77" i="33"/>
  <c r="AF79" i="33" s="1"/>
  <c r="D233" i="34"/>
  <c r="H4" i="34"/>
  <c r="V80" i="34"/>
  <c r="AN236" i="34"/>
  <c r="V7" i="34"/>
  <c r="Y236" i="34"/>
  <c r="AG236" i="34"/>
  <c r="O80" i="34"/>
  <c r="O7" i="34"/>
  <c r="AO236" i="34"/>
  <c r="W7" i="34"/>
  <c r="W80" i="34"/>
  <c r="AW236" i="34"/>
  <c r="AE7" i="34"/>
  <c r="AE80" i="34"/>
  <c r="F80" i="34"/>
  <c r="X236" i="34"/>
  <c r="F7" i="34"/>
  <c r="P7" i="34"/>
  <c r="AH236" i="34"/>
  <c r="P80" i="34"/>
  <c r="X7" i="34"/>
  <c r="AP236" i="34"/>
  <c r="X80" i="34"/>
  <c r="AF7" i="34"/>
  <c r="AX236" i="34"/>
  <c r="AF80" i="34"/>
  <c r="AG3" i="34"/>
  <c r="AG79" i="34"/>
  <c r="Q7" i="34"/>
  <c r="Q80" i="34"/>
  <c r="AI236" i="34"/>
  <c r="Y7" i="34"/>
  <c r="Y80" i="34"/>
  <c r="AQ236" i="34"/>
  <c r="AG77" i="34"/>
  <c r="J7" i="34"/>
  <c r="J80" i="34"/>
  <c r="AB236" i="34"/>
  <c r="R7" i="34"/>
  <c r="R80" i="34"/>
  <c r="AJ236" i="34"/>
  <c r="Z7" i="34"/>
  <c r="AR236" i="34"/>
  <c r="AD80" i="34"/>
  <c r="AV236" i="34"/>
  <c r="AD7" i="34"/>
  <c r="K80" i="34"/>
  <c r="AC236" i="34"/>
  <c r="K7" i="34"/>
  <c r="S80" i="34"/>
  <c r="AK236" i="34"/>
  <c r="S7" i="34"/>
  <c r="AA80" i="34"/>
  <c r="AS236" i="34"/>
  <c r="AA7" i="34"/>
  <c r="N80" i="34"/>
  <c r="AF236" i="34"/>
  <c r="N7" i="34"/>
  <c r="V236" i="34"/>
  <c r="L80" i="34"/>
  <c r="AD236" i="34"/>
  <c r="L7" i="34"/>
  <c r="T80" i="34"/>
  <c r="AL236" i="34"/>
  <c r="T7" i="34"/>
  <c r="AB80" i="34"/>
  <c r="AT236" i="34"/>
  <c r="AB7" i="34"/>
  <c r="AG6" i="34"/>
  <c r="M80" i="34"/>
  <c r="AE236" i="34"/>
  <c r="M7" i="34"/>
  <c r="U80" i="34"/>
  <c r="AM236" i="34"/>
  <c r="U7" i="34"/>
  <c r="I88" i="34"/>
  <c r="Q88" i="34"/>
  <c r="Y88" i="34"/>
  <c r="H88" i="34"/>
  <c r="P88" i="34"/>
  <c r="X88" i="34"/>
  <c r="AF88" i="34"/>
  <c r="E221" i="34"/>
  <c r="AH56" i="34"/>
  <c r="AH60" i="34"/>
  <c r="AH72" i="34"/>
  <c r="AH81" i="34"/>
  <c r="AI72" i="34"/>
  <c r="AH82" i="34"/>
  <c r="E216" i="34"/>
  <c r="AH83" i="34"/>
  <c r="AH38" i="34"/>
  <c r="AH42" i="34"/>
  <c r="AH84" i="34"/>
  <c r="AH85" i="34"/>
  <c r="AE87" i="33"/>
  <c r="AE88" i="33" s="1"/>
  <c r="AD87" i="33"/>
  <c r="AD88" i="33" s="1"/>
  <c r="Z87" i="33"/>
  <c r="Y87" i="33"/>
  <c r="W87" i="33"/>
  <c r="W88" i="33" s="1"/>
  <c r="V87" i="33"/>
  <c r="V88" i="33" s="1"/>
  <c r="S77" i="33"/>
  <c r="S79" i="33" s="1"/>
  <c r="S7" i="33" s="1"/>
  <c r="Q87" i="33"/>
  <c r="O87" i="33"/>
  <c r="O88" i="33" s="1"/>
  <c r="O77" i="33"/>
  <c r="O79" i="33" s="1"/>
  <c r="AA77" i="33"/>
  <c r="AA79" i="33" s="1"/>
  <c r="AA7" i="33" s="1"/>
  <c r="B98" i="33"/>
  <c r="U77" i="33"/>
  <c r="U79" i="33" s="1"/>
  <c r="AC77" i="33"/>
  <c r="AC79" i="33" s="1"/>
  <c r="AU236" i="33" s="1"/>
  <c r="D222" i="33"/>
  <c r="V77" i="33"/>
  <c r="V79" i="33" s="1"/>
  <c r="AD77" i="33"/>
  <c r="AD79" i="33" s="1"/>
  <c r="AD7" i="33" s="1"/>
  <c r="P87" i="33"/>
  <c r="P88" i="33" s="1"/>
  <c r="X87" i="33"/>
  <c r="X88" i="33" s="1"/>
  <c r="AF87" i="33"/>
  <c r="AF88" i="33" s="1"/>
  <c r="S87" i="33"/>
  <c r="AA87" i="33"/>
  <c r="C257" i="33"/>
  <c r="J87" i="33"/>
  <c r="P80" i="33"/>
  <c r="Q77" i="33"/>
  <c r="Q79" i="33" s="1"/>
  <c r="Q7" i="33" s="1"/>
  <c r="Y77" i="33"/>
  <c r="Y79" i="33" s="1"/>
  <c r="Y7" i="33" s="1"/>
  <c r="T87" i="33"/>
  <c r="AB87" i="33"/>
  <c r="AB88" i="33" s="1"/>
  <c r="N87" i="33"/>
  <c r="N88" i="33" s="1"/>
  <c r="N77" i="33"/>
  <c r="N79" i="33" s="1"/>
  <c r="AH101" i="33"/>
  <c r="AI101" i="33" s="1"/>
  <c r="M77" i="33"/>
  <c r="M79" i="33" s="1"/>
  <c r="M7" i="33" s="1"/>
  <c r="L87" i="33"/>
  <c r="K77" i="33"/>
  <c r="K79" i="33" s="1"/>
  <c r="K87" i="33"/>
  <c r="AH37" i="33"/>
  <c r="I87" i="33"/>
  <c r="I88" i="33" s="1"/>
  <c r="G87" i="33"/>
  <c r="G88" i="33" s="1"/>
  <c r="F87" i="33"/>
  <c r="F88" i="33" s="1"/>
  <c r="F77" i="33"/>
  <c r="F79" i="33" s="1"/>
  <c r="AI84" i="33"/>
  <c r="D87" i="33"/>
  <c r="AI85" i="33"/>
  <c r="AI83" i="33"/>
  <c r="C77" i="33"/>
  <c r="C79" i="33" s="1"/>
  <c r="C7" i="33" s="1"/>
  <c r="C87" i="33"/>
  <c r="I77" i="33"/>
  <c r="I79" i="33" s="1"/>
  <c r="I7" i="33" s="1"/>
  <c r="E77" i="33"/>
  <c r="E79" i="33" s="1"/>
  <c r="H77" i="33"/>
  <c r="H79" i="33" s="1"/>
  <c r="H7" i="33" s="1"/>
  <c r="AH42" i="33"/>
  <c r="B87" i="33"/>
  <c r="B88" i="33" s="1"/>
  <c r="AI42" i="33"/>
  <c r="H4" i="33"/>
  <c r="N80" i="33"/>
  <c r="AF236" i="33"/>
  <c r="N7" i="33"/>
  <c r="V80" i="33"/>
  <c r="AN236" i="33"/>
  <c r="V7" i="33"/>
  <c r="AV236" i="33"/>
  <c r="F5" i="33"/>
  <c r="G77" i="33"/>
  <c r="G79" i="33" s="1"/>
  <c r="AG236" i="33"/>
  <c r="O7" i="33"/>
  <c r="O80" i="33"/>
  <c r="W77" i="33"/>
  <c r="W79" i="33" s="1"/>
  <c r="AE77" i="33"/>
  <c r="AE79" i="33" s="1"/>
  <c r="AG6" i="33"/>
  <c r="P7" i="33"/>
  <c r="AH236" i="33"/>
  <c r="X7" i="33"/>
  <c r="AP236" i="33"/>
  <c r="AF7" i="33"/>
  <c r="AX236" i="33"/>
  <c r="H5" i="33"/>
  <c r="Q88" i="33"/>
  <c r="P5" i="33"/>
  <c r="X5" i="33"/>
  <c r="Y88" i="33"/>
  <c r="AG79" i="33"/>
  <c r="X80" i="33"/>
  <c r="AH81" i="33"/>
  <c r="H87" i="33"/>
  <c r="Y5" i="33"/>
  <c r="Z88" i="33"/>
  <c r="B77" i="33"/>
  <c r="J77" i="33"/>
  <c r="J79" i="33" s="1"/>
  <c r="R77" i="33"/>
  <c r="R79" i="33" s="1"/>
  <c r="Z77" i="33"/>
  <c r="Z79" i="33" s="1"/>
  <c r="AI60" i="33"/>
  <c r="AH60" i="33"/>
  <c r="AI81" i="33"/>
  <c r="Q80" i="33"/>
  <c r="AI236" i="33"/>
  <c r="AF5" i="33"/>
  <c r="AI72" i="33"/>
  <c r="AH72" i="33"/>
  <c r="AC236" i="33"/>
  <c r="S80" i="33"/>
  <c r="AK236" i="33"/>
  <c r="AA80" i="33"/>
  <c r="AS236" i="33"/>
  <c r="AI56" i="33"/>
  <c r="AH56" i="33"/>
  <c r="D88" i="33"/>
  <c r="L88" i="33"/>
  <c r="T88" i="33"/>
  <c r="S233" i="33"/>
  <c r="D233" i="33"/>
  <c r="AG77" i="33"/>
  <c r="I5" i="33"/>
  <c r="J88" i="33"/>
  <c r="AI82" i="33"/>
  <c r="K7" i="33"/>
  <c r="L77" i="33"/>
  <c r="L79" i="33" s="1"/>
  <c r="T77" i="33"/>
  <c r="T79" i="33" s="1"/>
  <c r="AB77" i="33"/>
  <c r="AB79" i="33" s="1"/>
  <c r="AH82" i="33"/>
  <c r="R88" i="33"/>
  <c r="Q5" i="33"/>
  <c r="D77" i="33"/>
  <c r="D79" i="33" s="1"/>
  <c r="AE236" i="33"/>
  <c r="U7" i="33"/>
  <c r="AM236" i="33"/>
  <c r="E87" i="33"/>
  <c r="M87" i="33"/>
  <c r="M88" i="33" s="1"/>
  <c r="U87" i="33"/>
  <c r="U88" i="33" s="1"/>
  <c r="AC87" i="33"/>
  <c r="AC88" i="33" s="1"/>
  <c r="D98" i="33"/>
  <c r="F221" i="33"/>
  <c r="AH83" i="33"/>
  <c r="C88" i="33"/>
  <c r="K88" i="33"/>
  <c r="S88" i="33"/>
  <c r="AA88" i="33"/>
  <c r="AH38" i="33"/>
  <c r="AH84" i="33"/>
  <c r="B222" i="33"/>
  <c r="E216" i="33"/>
  <c r="AI38" i="33"/>
  <c r="AH85" i="33"/>
  <c r="R101" i="32"/>
  <c r="R37" i="32"/>
  <c r="Q101" i="32"/>
  <c r="Q37" i="32"/>
  <c r="P101" i="32"/>
  <c r="P37" i="32"/>
  <c r="O101" i="32"/>
  <c r="O37" i="32"/>
  <c r="M101" i="32"/>
  <c r="M37" i="32"/>
  <c r="L37" i="32"/>
  <c r="K37" i="32"/>
  <c r="J37" i="32"/>
  <c r="F98" i="32"/>
  <c r="AF261" i="32"/>
  <c r="AE261" i="32"/>
  <c r="AD261" i="32"/>
  <c r="AC261" i="32"/>
  <c r="AB261" i="32"/>
  <c r="AA261" i="32"/>
  <c r="Z261" i="32"/>
  <c r="Y261" i="32"/>
  <c r="X261" i="32"/>
  <c r="W261" i="32"/>
  <c r="V261" i="32"/>
  <c r="U261" i="32"/>
  <c r="T261" i="32"/>
  <c r="S261" i="32"/>
  <c r="R261" i="32"/>
  <c r="Q261" i="32"/>
  <c r="P261" i="32"/>
  <c r="O261" i="32"/>
  <c r="N261" i="32"/>
  <c r="M261" i="32"/>
  <c r="L261" i="32"/>
  <c r="K261" i="32"/>
  <c r="J261" i="32"/>
  <c r="I261" i="32"/>
  <c r="H261" i="32"/>
  <c r="G261" i="32"/>
  <c r="F261" i="32"/>
  <c r="E261" i="32"/>
  <c r="D261" i="32"/>
  <c r="C261" i="32"/>
  <c r="B261" i="32"/>
  <c r="A261" i="32"/>
  <c r="AF260" i="32"/>
  <c r="AE260" i="32"/>
  <c r="AD260" i="32"/>
  <c r="AC260" i="32"/>
  <c r="AB260" i="32"/>
  <c r="AA260" i="32"/>
  <c r="Z260" i="32"/>
  <c r="Y260" i="32"/>
  <c r="X260" i="32"/>
  <c r="W260" i="32"/>
  <c r="V260" i="32"/>
  <c r="U260" i="32"/>
  <c r="T260" i="32"/>
  <c r="S260" i="32"/>
  <c r="R260" i="32"/>
  <c r="Q260" i="32"/>
  <c r="P260" i="32"/>
  <c r="O260" i="32"/>
  <c r="N260" i="32"/>
  <c r="M260" i="32"/>
  <c r="L260" i="32"/>
  <c r="K260" i="32"/>
  <c r="J260" i="32"/>
  <c r="I260" i="32"/>
  <c r="H260" i="32"/>
  <c r="G260" i="32"/>
  <c r="F260" i="32"/>
  <c r="E260" i="32"/>
  <c r="D260" i="32"/>
  <c r="C260" i="32"/>
  <c r="B260" i="32"/>
  <c r="A260" i="32"/>
  <c r="AF259" i="32"/>
  <c r="AE259" i="32"/>
  <c r="AD259" i="32"/>
  <c r="AC259" i="32"/>
  <c r="AB259" i="32"/>
  <c r="AA259" i="32"/>
  <c r="Z259" i="32"/>
  <c r="Y259" i="32"/>
  <c r="X259" i="32"/>
  <c r="W259" i="32"/>
  <c r="V259" i="32"/>
  <c r="U259" i="32"/>
  <c r="T259" i="32"/>
  <c r="S259" i="32"/>
  <c r="R259" i="32"/>
  <c r="Q259" i="32"/>
  <c r="P259" i="32"/>
  <c r="O259" i="32"/>
  <c r="N259" i="32"/>
  <c r="M259" i="32"/>
  <c r="L259" i="32"/>
  <c r="K259" i="32"/>
  <c r="J259" i="32"/>
  <c r="I259" i="32"/>
  <c r="H259" i="32"/>
  <c r="G259" i="32"/>
  <c r="F259" i="32"/>
  <c r="E259" i="32"/>
  <c r="D259" i="32"/>
  <c r="C259" i="32"/>
  <c r="B259" i="32"/>
  <c r="A259" i="32"/>
  <c r="AF258" i="32"/>
  <c r="AE258" i="32"/>
  <c r="AD258" i="32"/>
  <c r="AC258" i="32"/>
  <c r="AB258" i="32"/>
  <c r="AA258" i="32"/>
  <c r="Z258" i="32"/>
  <c r="Y258" i="32"/>
  <c r="X258" i="32"/>
  <c r="W258" i="32"/>
  <c r="V258" i="32"/>
  <c r="U258" i="32"/>
  <c r="T258" i="32"/>
  <c r="S258" i="32"/>
  <c r="R258" i="32"/>
  <c r="Q258" i="32"/>
  <c r="P258" i="32"/>
  <c r="O258" i="32"/>
  <c r="N258" i="32"/>
  <c r="M258" i="32"/>
  <c r="L258" i="32"/>
  <c r="K258" i="32"/>
  <c r="J258" i="32"/>
  <c r="I258" i="32"/>
  <c r="H258" i="32"/>
  <c r="G258" i="32"/>
  <c r="F258" i="32"/>
  <c r="E258" i="32"/>
  <c r="D258" i="32"/>
  <c r="C258" i="32"/>
  <c r="B258" i="32"/>
  <c r="A258" i="32"/>
  <c r="AE257" i="32"/>
  <c r="AD257" i="32"/>
  <c r="AC257" i="32"/>
  <c r="AB257" i="32"/>
  <c r="AA257" i="32"/>
  <c r="Z257" i="32"/>
  <c r="Y257" i="32"/>
  <c r="X257" i="32"/>
  <c r="W257" i="32"/>
  <c r="V257" i="32"/>
  <c r="U257" i="32"/>
  <c r="T257" i="32"/>
  <c r="S257" i="32"/>
  <c r="R257" i="32"/>
  <c r="Q257" i="32"/>
  <c r="P257" i="32"/>
  <c r="B257" i="32"/>
  <c r="S232" i="32"/>
  <c r="AG222" i="32"/>
  <c r="AF222" i="32"/>
  <c r="AE222" i="32"/>
  <c r="AD222" i="32"/>
  <c r="AC222" i="32"/>
  <c r="AB222" i="32"/>
  <c r="AA222" i="32"/>
  <c r="Z222" i="32"/>
  <c r="Y222" i="32"/>
  <c r="X222" i="32"/>
  <c r="W222" i="32"/>
  <c r="V222" i="32"/>
  <c r="U222" i="32"/>
  <c r="T222" i="32"/>
  <c r="S222" i="32"/>
  <c r="R222" i="32"/>
  <c r="Q222" i="32"/>
  <c r="C222" i="32"/>
  <c r="D221" i="32"/>
  <c r="C257" i="32" s="1"/>
  <c r="B221" i="32"/>
  <c r="AF257" i="32" s="1"/>
  <c r="E220" i="32"/>
  <c r="F220" i="32" s="1"/>
  <c r="G220" i="32" s="1"/>
  <c r="H220" i="32" s="1"/>
  <c r="I220" i="32" s="1"/>
  <c r="J220" i="32" s="1"/>
  <c r="K220" i="32" s="1"/>
  <c r="L220" i="32" s="1"/>
  <c r="M220" i="32" s="1"/>
  <c r="N220" i="32" s="1"/>
  <c r="O220" i="32" s="1"/>
  <c r="P220" i="32" s="1"/>
  <c r="D220" i="32"/>
  <c r="B220" i="32"/>
  <c r="E219" i="32"/>
  <c r="F219" i="32" s="1"/>
  <c r="G219" i="32" s="1"/>
  <c r="H219" i="32" s="1"/>
  <c r="I219" i="32" s="1"/>
  <c r="J219" i="32" s="1"/>
  <c r="K219" i="32" s="1"/>
  <c r="L219" i="32" s="1"/>
  <c r="M219" i="32" s="1"/>
  <c r="N219" i="32" s="1"/>
  <c r="O219" i="32" s="1"/>
  <c r="P219" i="32" s="1"/>
  <c r="D219" i="32"/>
  <c r="B219" i="32"/>
  <c r="F218" i="32"/>
  <c r="G218" i="32" s="1"/>
  <c r="H218" i="32" s="1"/>
  <c r="I218" i="32" s="1"/>
  <c r="J218" i="32" s="1"/>
  <c r="K218" i="32" s="1"/>
  <c r="L218" i="32" s="1"/>
  <c r="M218" i="32" s="1"/>
  <c r="N218" i="32" s="1"/>
  <c r="O218" i="32" s="1"/>
  <c r="P218" i="32" s="1"/>
  <c r="E218" i="32"/>
  <c r="D218" i="32"/>
  <c r="B218" i="32"/>
  <c r="B222" i="32" s="1"/>
  <c r="D217" i="32"/>
  <c r="D222" i="32" s="1"/>
  <c r="B217" i="32"/>
  <c r="E216" i="32"/>
  <c r="F216" i="32" s="1"/>
  <c r="D216" i="32"/>
  <c r="B216" i="32"/>
  <c r="B98" i="32" s="1"/>
  <c r="AG214" i="32"/>
  <c r="AF214" i="32"/>
  <c r="AE214" i="32"/>
  <c r="AD214" i="32"/>
  <c r="AC214" i="32"/>
  <c r="AB214" i="32"/>
  <c r="AA214" i="32"/>
  <c r="Z214" i="32"/>
  <c r="Y214" i="32"/>
  <c r="X214" i="32"/>
  <c r="W214" i="32"/>
  <c r="V214" i="32"/>
  <c r="U214" i="32"/>
  <c r="T214" i="32"/>
  <c r="S214" i="32"/>
  <c r="R214" i="32"/>
  <c r="Q214" i="32"/>
  <c r="P214" i="32"/>
  <c r="O214" i="32"/>
  <c r="N214" i="32"/>
  <c r="M214" i="32"/>
  <c r="L214" i="32"/>
  <c r="K214" i="32"/>
  <c r="J214" i="32"/>
  <c r="I214" i="32"/>
  <c r="H214" i="32"/>
  <c r="G214" i="32"/>
  <c r="F214" i="32"/>
  <c r="E214" i="32"/>
  <c r="D214" i="32"/>
  <c r="C214" i="32"/>
  <c r="B214" i="32"/>
  <c r="AH107" i="32"/>
  <c r="AI107" i="32" s="1"/>
  <c r="AH106" i="32"/>
  <c r="AI106" i="32" s="1"/>
  <c r="AH105" i="32"/>
  <c r="AI105" i="32" s="1"/>
  <c r="AH104" i="32"/>
  <c r="AI104" i="32" s="1"/>
  <c r="AH103" i="32"/>
  <c r="AI103" i="32" s="1"/>
  <c r="AH102" i="32"/>
  <c r="AI102" i="32" s="1"/>
  <c r="AH101" i="32"/>
  <c r="AI101" i="32" s="1"/>
  <c r="AH100" i="32"/>
  <c r="AI100" i="32" s="1"/>
  <c r="AH99" i="32"/>
  <c r="AI99" i="32" s="1"/>
  <c r="AF98" i="32"/>
  <c r="AE98" i="32"/>
  <c r="AD98" i="32"/>
  <c r="AC98" i="32"/>
  <c r="AB98" i="32"/>
  <c r="AA98" i="32"/>
  <c r="Z98" i="32"/>
  <c r="Y98" i="32"/>
  <c r="X98" i="32"/>
  <c r="W98" i="32"/>
  <c r="V98" i="32"/>
  <c r="U98" i="32"/>
  <c r="T98" i="32"/>
  <c r="S98" i="32"/>
  <c r="R98" i="32"/>
  <c r="Q98" i="32"/>
  <c r="D98" i="32"/>
  <c r="C98" i="32"/>
  <c r="AI97" i="32"/>
  <c r="AH97" i="32"/>
  <c r="AI96" i="32"/>
  <c r="AH96" i="32"/>
  <c r="AI95" i="32"/>
  <c r="AH95" i="32"/>
  <c r="AI94" i="32"/>
  <c r="AH94" i="32"/>
  <c r="AI93" i="32"/>
  <c r="AH93" i="32"/>
  <c r="AI92" i="32"/>
  <c r="AH92" i="32"/>
  <c r="AI91" i="32"/>
  <c r="AH91" i="32"/>
  <c r="AI90" i="32"/>
  <c r="AH90" i="32"/>
  <c r="AI89" i="32"/>
  <c r="AH89" i="32"/>
  <c r="AI86" i="32"/>
  <c r="AH86" i="32"/>
  <c r="AF85" i="32"/>
  <c r="AE85" i="32"/>
  <c r="AD85" i="32"/>
  <c r="AC85" i="32"/>
  <c r="AB85" i="32"/>
  <c r="AA85" i="32"/>
  <c r="Z85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M87" i="32" s="1"/>
  <c r="L85" i="32"/>
  <c r="K85" i="32"/>
  <c r="J85" i="32"/>
  <c r="I85" i="32"/>
  <c r="H85" i="32"/>
  <c r="G85" i="32"/>
  <c r="F85" i="32"/>
  <c r="E85" i="32"/>
  <c r="D85" i="32"/>
  <c r="C85" i="32"/>
  <c r="B85" i="32"/>
  <c r="AF84" i="32"/>
  <c r="AE84" i="32"/>
  <c r="AD84" i="32"/>
  <c r="AC84" i="32"/>
  <c r="AB84" i="32"/>
  <c r="AA84" i="32"/>
  <c r="Z84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AF83" i="32"/>
  <c r="AE83" i="32"/>
  <c r="AD83" i="32"/>
  <c r="AC83" i="32"/>
  <c r="AB83" i="32"/>
  <c r="AA83" i="32"/>
  <c r="Z83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AF82" i="32"/>
  <c r="AE82" i="32"/>
  <c r="AD82" i="32"/>
  <c r="AC82" i="32"/>
  <c r="AB82" i="32"/>
  <c r="AA82" i="32"/>
  <c r="Z82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K87" i="32" s="1"/>
  <c r="J82" i="32"/>
  <c r="I82" i="32"/>
  <c r="H82" i="32"/>
  <c r="G82" i="32"/>
  <c r="F82" i="32"/>
  <c r="E82" i="32"/>
  <c r="D82" i="32"/>
  <c r="C82" i="32"/>
  <c r="B82" i="32"/>
  <c r="AF81" i="32"/>
  <c r="AE81" i="32"/>
  <c r="AE87" i="32" s="1"/>
  <c r="AD81" i="32"/>
  <c r="AC81" i="32"/>
  <c r="AB81" i="32"/>
  <c r="AA81" i="32"/>
  <c r="Z81" i="32"/>
  <c r="Y81" i="32"/>
  <c r="X81" i="32"/>
  <c r="W81" i="32"/>
  <c r="V81" i="32"/>
  <c r="U81" i="32"/>
  <c r="T81" i="32"/>
  <c r="S81" i="32"/>
  <c r="R81" i="32"/>
  <c r="Q81" i="32"/>
  <c r="P81" i="32"/>
  <c r="O81" i="32"/>
  <c r="N81" i="32"/>
  <c r="M81" i="32"/>
  <c r="L81" i="32"/>
  <c r="K81" i="32"/>
  <c r="J81" i="32"/>
  <c r="I81" i="32"/>
  <c r="H81" i="32"/>
  <c r="G81" i="32"/>
  <c r="F81" i="32"/>
  <c r="E81" i="32"/>
  <c r="D81" i="32"/>
  <c r="C81" i="32"/>
  <c r="B81" i="32"/>
  <c r="AI78" i="32"/>
  <c r="AH78" i="32"/>
  <c r="AI76" i="32"/>
  <c r="AH76" i="32"/>
  <c r="AG76" i="32"/>
  <c r="AI75" i="32"/>
  <c r="AH75" i="32"/>
  <c r="AI74" i="32"/>
  <c r="AH74" i="32"/>
  <c r="AI73" i="32"/>
  <c r="AH73" i="32"/>
  <c r="AG72" i="32"/>
  <c r="AF72" i="32"/>
  <c r="AE72" i="32"/>
  <c r="AD5" i="32" s="1"/>
  <c r="AD72" i="32"/>
  <c r="AC72" i="32"/>
  <c r="AB72" i="32"/>
  <c r="AA5" i="32" s="1"/>
  <c r="AA72" i="32"/>
  <c r="Z72" i="32"/>
  <c r="Y72" i="32"/>
  <c r="X5" i="32" s="1"/>
  <c r="X72" i="32"/>
  <c r="W5" i="32" s="1"/>
  <c r="W72" i="32"/>
  <c r="V72" i="32"/>
  <c r="U72" i="32"/>
  <c r="T72" i="32"/>
  <c r="S5" i="32" s="1"/>
  <c r="S72" i="32"/>
  <c r="R5" i="32" s="1"/>
  <c r="R72" i="32"/>
  <c r="Q5" i="32" s="1"/>
  <c r="Q72" i="32"/>
  <c r="P5" i="32" s="1"/>
  <c r="P72" i="32"/>
  <c r="O5" i="32" s="1"/>
  <c r="O72" i="32"/>
  <c r="N72" i="32"/>
  <c r="M72" i="32"/>
  <c r="L72" i="32"/>
  <c r="K5" i="32" s="1"/>
  <c r="K72" i="32"/>
  <c r="J72" i="32"/>
  <c r="I5" i="32" s="1"/>
  <c r="I72" i="32"/>
  <c r="H5" i="32" s="1"/>
  <c r="H72" i="32"/>
  <c r="G5" i="32" s="1"/>
  <c r="G72" i="32"/>
  <c r="F5" i="32" s="1"/>
  <c r="F72" i="32"/>
  <c r="E5" i="32" s="1"/>
  <c r="E72" i="32"/>
  <c r="D72" i="32"/>
  <c r="C5" i="32" s="1"/>
  <c r="C72" i="32"/>
  <c r="B72" i="32"/>
  <c r="AF5" i="32" s="1"/>
  <c r="AI71" i="32"/>
  <c r="AH71" i="32"/>
  <c r="AI70" i="32"/>
  <c r="AH70" i="32"/>
  <c r="AI69" i="32"/>
  <c r="AH69" i="32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G60" i="32"/>
  <c r="AG79" i="32" s="1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AI59" i="32"/>
  <c r="AH59" i="32"/>
  <c r="AI58" i="32"/>
  <c r="AH58" i="32"/>
  <c r="AI57" i="32"/>
  <c r="AH57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I55" i="32"/>
  <c r="AH55" i="32"/>
  <c r="AG55" i="32"/>
  <c r="AG56" i="32" s="1"/>
  <c r="AG3" i="32" s="1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AI41" i="32"/>
  <c r="AH41" i="32"/>
  <c r="AI40" i="32"/>
  <c r="AH40" i="32"/>
  <c r="AI39" i="32"/>
  <c r="AH39" i="32"/>
  <c r="AG38" i="32"/>
  <c r="AF38" i="32"/>
  <c r="AE38" i="32"/>
  <c r="AD38" i="32"/>
  <c r="AC38" i="32"/>
  <c r="AB38" i="32"/>
  <c r="AA38" i="32"/>
  <c r="Z38" i="32"/>
  <c r="Z77" i="32" s="1"/>
  <c r="Z79" i="32" s="1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I77" i="32" s="1"/>
  <c r="I79" i="32" s="1"/>
  <c r="H38" i="32"/>
  <c r="G38" i="32"/>
  <c r="F38" i="32"/>
  <c r="E38" i="32"/>
  <c r="D38" i="32"/>
  <c r="C38" i="32"/>
  <c r="B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E5" i="32"/>
  <c r="Y5" i="32"/>
  <c r="U5" i="32"/>
  <c r="N5" i="32"/>
  <c r="AG4" i="32"/>
  <c r="K4" i="32"/>
  <c r="B4" i="32"/>
  <c r="S233" i="32" s="1"/>
  <c r="AG2" i="32"/>
  <c r="AG6" i="32" s="1"/>
  <c r="Y98" i="31"/>
  <c r="Y85" i="31"/>
  <c r="Y84" i="31"/>
  <c r="Y83" i="31"/>
  <c r="Y82" i="31"/>
  <c r="Y81" i="31"/>
  <c r="Y72" i="31"/>
  <c r="Y60" i="31"/>
  <c r="Y56" i="31"/>
  <c r="Y42" i="31"/>
  <c r="Y38" i="31"/>
  <c r="X98" i="31"/>
  <c r="X85" i="31"/>
  <c r="X84" i="31"/>
  <c r="X83" i="31"/>
  <c r="X82" i="31"/>
  <c r="X81" i="31"/>
  <c r="X72" i="31"/>
  <c r="X60" i="31"/>
  <c r="X56" i="31"/>
  <c r="X42" i="31"/>
  <c r="X38" i="31"/>
  <c r="W98" i="31"/>
  <c r="W85" i="31"/>
  <c r="W84" i="31"/>
  <c r="W87" i="31" s="1"/>
  <c r="W83" i="31"/>
  <c r="W82" i="31"/>
  <c r="W81" i="31"/>
  <c r="W72" i="31"/>
  <c r="W88" i="31" s="1"/>
  <c r="W60" i="31"/>
  <c r="W56" i="31"/>
  <c r="W42" i="31"/>
  <c r="W38" i="31"/>
  <c r="AH100" i="22"/>
  <c r="AI100" i="22" s="1"/>
  <c r="AH100" i="29"/>
  <c r="AI100" i="29" s="1"/>
  <c r="AH100" i="31"/>
  <c r="AI100" i="31" s="1"/>
  <c r="E4" i="32"/>
  <c r="I98" i="36" l="1"/>
  <c r="I222" i="36"/>
  <c r="J216" i="36"/>
  <c r="K221" i="36"/>
  <c r="I257" i="36"/>
  <c r="AX236" i="35"/>
  <c r="AC80" i="35"/>
  <c r="Z97" i="35" s="1"/>
  <c r="AI97" i="35" s="1"/>
  <c r="AH97" i="35"/>
  <c r="AA7" i="35"/>
  <c r="AI236" i="35"/>
  <c r="Q80" i="35"/>
  <c r="J80" i="35"/>
  <c r="AA236" i="35"/>
  <c r="I80" i="35"/>
  <c r="J7" i="35"/>
  <c r="AB236" i="35"/>
  <c r="Z236" i="35"/>
  <c r="H80" i="35"/>
  <c r="B231" i="35"/>
  <c r="C231" i="35"/>
  <c r="Y236" i="35"/>
  <c r="G80" i="35"/>
  <c r="F7" i="35"/>
  <c r="X236" i="35"/>
  <c r="E80" i="35"/>
  <c r="E7" i="35"/>
  <c r="D80" i="35"/>
  <c r="D7" i="35"/>
  <c r="V236" i="35"/>
  <c r="C7" i="35"/>
  <c r="U236" i="35"/>
  <c r="AI88" i="35"/>
  <c r="AH88" i="35"/>
  <c r="F257" i="35"/>
  <c r="H221" i="35"/>
  <c r="AI87" i="35"/>
  <c r="AH87" i="35"/>
  <c r="G216" i="35"/>
  <c r="F98" i="35"/>
  <c r="F222" i="35"/>
  <c r="AI77" i="35"/>
  <c r="AH77" i="35"/>
  <c r="B79" i="35"/>
  <c r="AC7" i="34"/>
  <c r="AU236" i="34"/>
  <c r="AI97" i="34"/>
  <c r="AH97" i="34"/>
  <c r="AA236" i="34"/>
  <c r="I80" i="34"/>
  <c r="C231" i="34"/>
  <c r="H7" i="34"/>
  <c r="Z236" i="34"/>
  <c r="G80" i="34"/>
  <c r="G7" i="34"/>
  <c r="B231" i="34"/>
  <c r="W236" i="34"/>
  <c r="E7" i="34"/>
  <c r="D80" i="34"/>
  <c r="D7" i="34"/>
  <c r="C7" i="34"/>
  <c r="U236" i="34"/>
  <c r="AF80" i="33"/>
  <c r="AI87" i="34"/>
  <c r="AH87" i="34"/>
  <c r="AI77" i="34"/>
  <c r="AH77" i="34"/>
  <c r="E222" i="34"/>
  <c r="F216" i="34"/>
  <c r="E98" i="34"/>
  <c r="D257" i="34"/>
  <c r="F221" i="34"/>
  <c r="AC7" i="33"/>
  <c r="AQ236" i="33"/>
  <c r="Y80" i="33"/>
  <c r="AD80" i="33"/>
  <c r="U236" i="33"/>
  <c r="F80" i="33"/>
  <c r="C80" i="33"/>
  <c r="F7" i="33"/>
  <c r="K80" i="33"/>
  <c r="I80" i="33"/>
  <c r="AA236" i="33"/>
  <c r="Z236" i="33"/>
  <c r="X236" i="33"/>
  <c r="E80" i="33"/>
  <c r="E7" i="33"/>
  <c r="W236" i="33"/>
  <c r="AI87" i="33"/>
  <c r="AB80" i="33"/>
  <c r="AT236" i="33"/>
  <c r="AB7" i="33"/>
  <c r="Y236" i="33"/>
  <c r="C231" i="33"/>
  <c r="B231" i="33"/>
  <c r="G7" i="33"/>
  <c r="G80" i="33"/>
  <c r="U80" i="33"/>
  <c r="T80" i="33"/>
  <c r="AL236" i="33"/>
  <c r="T7" i="33"/>
  <c r="Z80" i="33"/>
  <c r="AR236" i="33"/>
  <c r="Z7" i="33"/>
  <c r="H80" i="33"/>
  <c r="H88" i="33"/>
  <c r="D80" i="33"/>
  <c r="V236" i="33"/>
  <c r="D7" i="33"/>
  <c r="L80" i="33"/>
  <c r="AD236" i="33"/>
  <c r="L7" i="33"/>
  <c r="AJ236" i="33"/>
  <c r="R80" i="33"/>
  <c r="R7" i="33"/>
  <c r="F216" i="33"/>
  <c r="E222" i="33"/>
  <c r="E98" i="33"/>
  <c r="E88" i="33"/>
  <c r="AH87" i="33"/>
  <c r="J80" i="33"/>
  <c r="AB236" i="33"/>
  <c r="J7" i="33"/>
  <c r="AW236" i="33"/>
  <c r="AE7" i="33"/>
  <c r="AE80" i="33"/>
  <c r="M80" i="33"/>
  <c r="AI77" i="33"/>
  <c r="AH77" i="33"/>
  <c r="B79" i="33"/>
  <c r="AO236" i="33"/>
  <c r="W7" i="33"/>
  <c r="W80" i="33"/>
  <c r="G221" i="33"/>
  <c r="E257" i="33"/>
  <c r="AC80" i="33"/>
  <c r="AF87" i="32"/>
  <c r="AF77" i="32"/>
  <c r="AF79" i="32" s="1"/>
  <c r="AE88" i="32"/>
  <c r="AE77" i="32"/>
  <c r="AE79" i="32" s="1"/>
  <c r="AD87" i="32"/>
  <c r="AD88" i="32" s="1"/>
  <c r="AC5" i="32"/>
  <c r="AD77" i="32"/>
  <c r="AD79" i="32" s="1"/>
  <c r="AC87" i="32"/>
  <c r="AC88" i="32" s="1"/>
  <c r="AC77" i="32"/>
  <c r="AC79" i="32" s="1"/>
  <c r="AB87" i="32"/>
  <c r="AB88" i="32" s="1"/>
  <c r="AB77" i="32"/>
  <c r="AB79" i="32" s="1"/>
  <c r="AA87" i="32"/>
  <c r="AA88" i="32" s="1"/>
  <c r="AA77" i="32"/>
  <c r="AA79" i="32" s="1"/>
  <c r="Z5" i="32"/>
  <c r="Z87" i="32"/>
  <c r="Y87" i="32"/>
  <c r="Y77" i="32"/>
  <c r="Y79" i="32" s="1"/>
  <c r="X87" i="32"/>
  <c r="X77" i="32"/>
  <c r="X79" i="32" s="1"/>
  <c r="W77" i="32"/>
  <c r="W79" i="32" s="1"/>
  <c r="V5" i="32"/>
  <c r="W87" i="32"/>
  <c r="W88" i="32" s="1"/>
  <c r="V87" i="32"/>
  <c r="V88" i="32" s="1"/>
  <c r="V77" i="32"/>
  <c r="V79" i="32" s="1"/>
  <c r="U87" i="32"/>
  <c r="U88" i="32"/>
  <c r="U77" i="32"/>
  <c r="U79" i="32" s="1"/>
  <c r="T87" i="32"/>
  <c r="T88" i="32" s="1"/>
  <c r="T77" i="32"/>
  <c r="T79" i="32" s="1"/>
  <c r="S87" i="32"/>
  <c r="S88" i="32"/>
  <c r="S77" i="32"/>
  <c r="S79" i="32" s="1"/>
  <c r="R87" i="32"/>
  <c r="R77" i="32"/>
  <c r="R79" i="32" s="1"/>
  <c r="Q87" i="32"/>
  <c r="Q77" i="32"/>
  <c r="Q79" i="32" s="1"/>
  <c r="P77" i="32"/>
  <c r="P79" i="32" s="1"/>
  <c r="P87" i="32"/>
  <c r="O87" i="32"/>
  <c r="O88" i="32" s="1"/>
  <c r="O77" i="32"/>
  <c r="O79" i="32" s="1"/>
  <c r="M5" i="32"/>
  <c r="N87" i="32"/>
  <c r="N88" i="32" s="1"/>
  <c r="N77" i="32"/>
  <c r="N79" i="32" s="1"/>
  <c r="M88" i="32"/>
  <c r="M77" i="32"/>
  <c r="M79" i="32" s="1"/>
  <c r="M80" i="32" s="1"/>
  <c r="L87" i="32"/>
  <c r="L88" i="32" s="1"/>
  <c r="L77" i="32"/>
  <c r="L79" i="32" s="1"/>
  <c r="L7" i="32" s="1"/>
  <c r="K88" i="32"/>
  <c r="J5" i="32"/>
  <c r="K77" i="32"/>
  <c r="K79" i="32" s="1"/>
  <c r="K7" i="32" s="1"/>
  <c r="J87" i="32"/>
  <c r="J77" i="32"/>
  <c r="J79" i="32" s="1"/>
  <c r="I87" i="32"/>
  <c r="I88" i="32" s="1"/>
  <c r="H87" i="32"/>
  <c r="H88" i="32" s="1"/>
  <c r="H77" i="32"/>
  <c r="H79" i="32" s="1"/>
  <c r="Z236" i="32" s="1"/>
  <c r="G87" i="32"/>
  <c r="G88" i="32"/>
  <c r="G77" i="32"/>
  <c r="G79" i="32" s="1"/>
  <c r="Y236" i="32" s="1"/>
  <c r="F87" i="32"/>
  <c r="F88" i="32" s="1"/>
  <c r="F77" i="32"/>
  <c r="F79" i="32" s="1"/>
  <c r="E87" i="32"/>
  <c r="E88" i="32" s="1"/>
  <c r="AI82" i="32"/>
  <c r="E77" i="32"/>
  <c r="E79" i="32" s="1"/>
  <c r="E80" i="32" s="1"/>
  <c r="AI60" i="32"/>
  <c r="AI42" i="32"/>
  <c r="AI84" i="32"/>
  <c r="AH84" i="32"/>
  <c r="D87" i="32"/>
  <c r="D88" i="32" s="1"/>
  <c r="D77" i="32"/>
  <c r="D79" i="32" s="1"/>
  <c r="D80" i="32" s="1"/>
  <c r="AI85" i="32"/>
  <c r="AH83" i="32"/>
  <c r="AI81" i="32"/>
  <c r="C87" i="32"/>
  <c r="C88" i="32" s="1"/>
  <c r="B5" i="32"/>
  <c r="C77" i="32"/>
  <c r="C79" i="32" s="1"/>
  <c r="C7" i="32" s="1"/>
  <c r="AI56" i="32"/>
  <c r="AI83" i="32"/>
  <c r="B77" i="32"/>
  <c r="H4" i="32"/>
  <c r="AW236" i="32"/>
  <c r="AE7" i="32"/>
  <c r="AE80" i="32"/>
  <c r="X7" i="32"/>
  <c r="X80" i="32"/>
  <c r="AP236" i="32"/>
  <c r="I7" i="32"/>
  <c r="I80" i="32"/>
  <c r="AA236" i="32"/>
  <c r="Q7" i="32"/>
  <c r="Q80" i="32"/>
  <c r="AI236" i="32"/>
  <c r="Y7" i="32"/>
  <c r="Y80" i="32"/>
  <c r="AQ236" i="32"/>
  <c r="AG77" i="32"/>
  <c r="AF7" i="32"/>
  <c r="AF80" i="32"/>
  <c r="AX236" i="32"/>
  <c r="B79" i="32"/>
  <c r="J80" i="32"/>
  <c r="AB236" i="32"/>
  <c r="J7" i="32"/>
  <c r="R80" i="32"/>
  <c r="AJ236" i="32"/>
  <c r="R7" i="32"/>
  <c r="Z80" i="32"/>
  <c r="AR236" i="32"/>
  <c r="Z7" i="32"/>
  <c r="U236" i="32"/>
  <c r="S80" i="32"/>
  <c r="AK236" i="32"/>
  <c r="S7" i="32"/>
  <c r="AO236" i="32"/>
  <c r="W7" i="32"/>
  <c r="W80" i="32"/>
  <c r="P7" i="32"/>
  <c r="P80" i="32"/>
  <c r="AH236" i="32"/>
  <c r="AA80" i="32"/>
  <c r="AS236" i="32"/>
  <c r="AA7" i="32"/>
  <c r="AL236" i="32"/>
  <c r="T80" i="32"/>
  <c r="T7" i="32"/>
  <c r="AB80" i="32"/>
  <c r="AT236" i="32"/>
  <c r="AB7" i="32"/>
  <c r="P88" i="32"/>
  <c r="X88" i="32"/>
  <c r="AF88" i="32"/>
  <c r="G216" i="32"/>
  <c r="U80" i="32"/>
  <c r="AM236" i="32"/>
  <c r="U7" i="32"/>
  <c r="AC80" i="32"/>
  <c r="AU236" i="32"/>
  <c r="AC7" i="32"/>
  <c r="Q88" i="32"/>
  <c r="Y88" i="32"/>
  <c r="AG236" i="32"/>
  <c r="O7" i="32"/>
  <c r="O80" i="32"/>
  <c r="X236" i="32"/>
  <c r="F7" i="32"/>
  <c r="N80" i="32"/>
  <c r="AF236" i="32"/>
  <c r="N7" i="32"/>
  <c r="V80" i="32"/>
  <c r="AN236" i="32"/>
  <c r="V7" i="32"/>
  <c r="AD80" i="32"/>
  <c r="AV236" i="32"/>
  <c r="AD7" i="32"/>
  <c r="J88" i="32"/>
  <c r="R88" i="32"/>
  <c r="Z88" i="32"/>
  <c r="D5" i="32"/>
  <c r="L5" i="32"/>
  <c r="T5" i="32"/>
  <c r="AB5" i="32"/>
  <c r="D233" i="32"/>
  <c r="E217" i="32"/>
  <c r="E221" i="32"/>
  <c r="AH42" i="32"/>
  <c r="AH56" i="32"/>
  <c r="AH60" i="32"/>
  <c r="AH72" i="32"/>
  <c r="AH81" i="32"/>
  <c r="B87" i="32"/>
  <c r="AH38" i="32"/>
  <c r="AI72" i="32"/>
  <c r="AH82" i="32"/>
  <c r="AI38" i="32"/>
  <c r="AH85" i="32"/>
  <c r="Y87" i="31"/>
  <c r="Y77" i="31"/>
  <c r="Y79" i="31" s="1"/>
  <c r="Y88" i="31"/>
  <c r="Y80" i="31"/>
  <c r="X87" i="31"/>
  <c r="X88" i="31" s="1"/>
  <c r="X77" i="31"/>
  <c r="X79" i="31" s="1"/>
  <c r="X80" i="31" s="1"/>
  <c r="W77" i="31"/>
  <c r="W79" i="31" s="1"/>
  <c r="W80" i="31" s="1"/>
  <c r="L221" i="36" l="1"/>
  <c r="J257" i="36"/>
  <c r="J98" i="36"/>
  <c r="J222" i="36"/>
  <c r="K216" i="36"/>
  <c r="K6" i="35"/>
  <c r="H216" i="35"/>
  <c r="G98" i="35"/>
  <c r="G222" i="35"/>
  <c r="B80" i="35"/>
  <c r="AH80" i="35" s="1"/>
  <c r="T236" i="35"/>
  <c r="AI79" i="35"/>
  <c r="AH79" i="35"/>
  <c r="B7" i="35"/>
  <c r="A7" i="35" s="1"/>
  <c r="G257" i="35"/>
  <c r="I221" i="35"/>
  <c r="K6" i="34"/>
  <c r="G216" i="34"/>
  <c r="F98" i="34"/>
  <c r="F222" i="34"/>
  <c r="AI88" i="34"/>
  <c r="AH88" i="34"/>
  <c r="B7" i="34"/>
  <c r="A7" i="34" s="1"/>
  <c r="AH80" i="34"/>
  <c r="T236" i="34"/>
  <c r="AI79" i="34"/>
  <c r="AH79" i="34"/>
  <c r="E257" i="34"/>
  <c r="G221" i="34"/>
  <c r="AI88" i="33"/>
  <c r="F257" i="33"/>
  <c r="H221" i="33"/>
  <c r="K6" i="33"/>
  <c r="AI79" i="33"/>
  <c r="B80" i="33"/>
  <c r="AH80" i="33" s="1"/>
  <c r="T236" i="33"/>
  <c r="B7" i="33"/>
  <c r="A7" i="33" s="1"/>
  <c r="AH79" i="33"/>
  <c r="F98" i="33"/>
  <c r="G216" i="33"/>
  <c r="F222" i="33"/>
  <c r="AH88" i="33"/>
  <c r="M7" i="32"/>
  <c r="AE236" i="32"/>
  <c r="K80" i="32"/>
  <c r="L80" i="32"/>
  <c r="AD236" i="32"/>
  <c r="AC236" i="32"/>
  <c r="H80" i="32"/>
  <c r="H7" i="32"/>
  <c r="D7" i="32"/>
  <c r="V236" i="32"/>
  <c r="G7" i="32"/>
  <c r="G80" i="32"/>
  <c r="B231" i="32"/>
  <c r="C231" i="32"/>
  <c r="F80" i="32"/>
  <c r="E7" i="32"/>
  <c r="W236" i="32"/>
  <c r="C80" i="32"/>
  <c r="AI77" i="32"/>
  <c r="AH77" i="32"/>
  <c r="D257" i="32"/>
  <c r="F221" i="32"/>
  <c r="E98" i="32"/>
  <c r="F217" i="32"/>
  <c r="E222" i="32"/>
  <c r="AI87" i="32"/>
  <c r="AH87" i="32"/>
  <c r="B88" i="32"/>
  <c r="H216" i="32"/>
  <c r="B80" i="32"/>
  <c r="T236" i="32"/>
  <c r="AI79" i="32"/>
  <c r="AH79" i="32"/>
  <c r="B7" i="32"/>
  <c r="K98" i="36" l="1"/>
  <c r="K222" i="36"/>
  <c r="L216" i="36"/>
  <c r="K257" i="36"/>
  <c r="M221" i="36"/>
  <c r="H257" i="35"/>
  <c r="J221" i="35"/>
  <c r="I216" i="35"/>
  <c r="H98" i="35"/>
  <c r="H222" i="35"/>
  <c r="F257" i="34"/>
  <c r="H221" i="34"/>
  <c r="H216" i="34"/>
  <c r="G98" i="34"/>
  <c r="G222" i="34"/>
  <c r="H216" i="33"/>
  <c r="G98" i="33"/>
  <c r="G222" i="33"/>
  <c r="G257" i="33"/>
  <c r="I221" i="33"/>
  <c r="K6" i="32"/>
  <c r="A7" i="32"/>
  <c r="AH80" i="32"/>
  <c r="AI88" i="32"/>
  <c r="AH88" i="32"/>
  <c r="G217" i="32"/>
  <c r="F222" i="32"/>
  <c r="E257" i="32"/>
  <c r="G221" i="32"/>
  <c r="I216" i="32"/>
  <c r="O98" i="31"/>
  <c r="N99" i="31"/>
  <c r="G37" i="31"/>
  <c r="AH37" i="31" s="1"/>
  <c r="F37" i="31"/>
  <c r="E37" i="31"/>
  <c r="D101" i="31"/>
  <c r="D37" i="31"/>
  <c r="C37" i="31"/>
  <c r="B101" i="31"/>
  <c r="AF261" i="31"/>
  <c r="AE261" i="31"/>
  <c r="AD261" i="31"/>
  <c r="AC261" i="31"/>
  <c r="AB261" i="31"/>
  <c r="AA261" i="31"/>
  <c r="Z261" i="31"/>
  <c r="Y261" i="31"/>
  <c r="X261" i="31"/>
  <c r="W261" i="31"/>
  <c r="V261" i="31"/>
  <c r="U261" i="31"/>
  <c r="T261" i="31"/>
  <c r="S261" i="31"/>
  <c r="R261" i="31"/>
  <c r="Q261" i="31"/>
  <c r="P261" i="31"/>
  <c r="O261" i="31"/>
  <c r="N261" i="31"/>
  <c r="M261" i="31"/>
  <c r="L261" i="31"/>
  <c r="K261" i="31"/>
  <c r="J261" i="31"/>
  <c r="I261" i="31"/>
  <c r="H261" i="31"/>
  <c r="G261" i="31"/>
  <c r="F261" i="31"/>
  <c r="E261" i="31"/>
  <c r="D261" i="31"/>
  <c r="C261" i="31"/>
  <c r="B261" i="31"/>
  <c r="A261" i="31"/>
  <c r="AF260" i="31"/>
  <c r="AE260" i="31"/>
  <c r="AD260" i="31"/>
  <c r="AC260" i="31"/>
  <c r="AB260" i="31"/>
  <c r="AA260" i="31"/>
  <c r="Z260" i="31"/>
  <c r="Y260" i="31"/>
  <c r="X260" i="31"/>
  <c r="W260" i="31"/>
  <c r="V260" i="31"/>
  <c r="U260" i="31"/>
  <c r="T260" i="31"/>
  <c r="S260" i="3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C260" i="31"/>
  <c r="B260" i="31"/>
  <c r="A260" i="31"/>
  <c r="AF259" i="31"/>
  <c r="AE259" i="31"/>
  <c r="AD259" i="31"/>
  <c r="AC259" i="31"/>
  <c r="AB259" i="31"/>
  <c r="AA259" i="31"/>
  <c r="Z259" i="31"/>
  <c r="Y259" i="31"/>
  <c r="X259" i="31"/>
  <c r="W259" i="31"/>
  <c r="V259" i="31"/>
  <c r="U259" i="31"/>
  <c r="T259" i="31"/>
  <c r="S259" i="31"/>
  <c r="R259" i="31"/>
  <c r="Q259" i="31"/>
  <c r="P259" i="31"/>
  <c r="O259" i="31"/>
  <c r="N259" i="31"/>
  <c r="M259" i="31"/>
  <c r="L259" i="31"/>
  <c r="K259" i="31"/>
  <c r="J259" i="31"/>
  <c r="I259" i="31"/>
  <c r="H259" i="31"/>
  <c r="G259" i="31"/>
  <c r="F259" i="31"/>
  <c r="E259" i="31"/>
  <c r="D259" i="31"/>
  <c r="C259" i="31"/>
  <c r="B259" i="31"/>
  <c r="A259" i="31"/>
  <c r="AF258" i="31"/>
  <c r="AE258" i="31"/>
  <c r="AD258" i="31"/>
  <c r="AC258" i="31"/>
  <c r="AB258" i="31"/>
  <c r="AA258" i="31"/>
  <c r="Z258" i="31"/>
  <c r="Y258" i="31"/>
  <c r="X258" i="31"/>
  <c r="W258" i="31"/>
  <c r="V258" i="31"/>
  <c r="U258" i="31"/>
  <c r="T258" i="31"/>
  <c r="S258" i="31"/>
  <c r="R258" i="31"/>
  <c r="Q258" i="31"/>
  <c r="P258" i="31"/>
  <c r="O258" i="31"/>
  <c r="N258" i="31"/>
  <c r="M258" i="31"/>
  <c r="L258" i="31"/>
  <c r="K258" i="31"/>
  <c r="J258" i="31"/>
  <c r="I258" i="31"/>
  <c r="H258" i="31"/>
  <c r="G258" i="31"/>
  <c r="F258" i="31"/>
  <c r="E258" i="31"/>
  <c r="D258" i="31"/>
  <c r="C258" i="31"/>
  <c r="B258" i="31"/>
  <c r="A258" i="31"/>
  <c r="AE257" i="31"/>
  <c r="AD257" i="31"/>
  <c r="AC257" i="31"/>
  <c r="AB257" i="31"/>
  <c r="AA257" i="31"/>
  <c r="Z257" i="31"/>
  <c r="Y257" i="31"/>
  <c r="X257" i="31"/>
  <c r="W257" i="31"/>
  <c r="V257" i="31"/>
  <c r="U257" i="31"/>
  <c r="T257" i="31"/>
  <c r="S257" i="31"/>
  <c r="R257" i="31"/>
  <c r="Q257" i="31"/>
  <c r="P257" i="31"/>
  <c r="C257" i="31"/>
  <c r="B257" i="31"/>
  <c r="S232" i="31"/>
  <c r="AG222" i="31"/>
  <c r="AG55" i="31" s="1"/>
  <c r="AG56" i="31" s="1"/>
  <c r="AG3" i="31" s="1"/>
  <c r="AG6" i="31" s="1"/>
  <c r="AF222" i="31"/>
  <c r="AE222" i="31"/>
  <c r="AD222" i="31"/>
  <c r="AC222" i="31"/>
  <c r="AB222" i="31"/>
  <c r="AA222" i="31"/>
  <c r="Z222" i="31"/>
  <c r="Y222" i="31"/>
  <c r="X222" i="31"/>
  <c r="W222" i="31"/>
  <c r="V222" i="31"/>
  <c r="U222" i="31"/>
  <c r="T222" i="31"/>
  <c r="S222" i="31"/>
  <c r="R222" i="31"/>
  <c r="Q222" i="31"/>
  <c r="C222" i="31"/>
  <c r="D221" i="31"/>
  <c r="E221" i="31" s="1"/>
  <c r="B221" i="31"/>
  <c r="AF257" i="31" s="1"/>
  <c r="D220" i="31"/>
  <c r="E220" i="31" s="1"/>
  <c r="F220" i="31" s="1"/>
  <c r="G220" i="31" s="1"/>
  <c r="H220" i="31" s="1"/>
  <c r="I220" i="31" s="1"/>
  <c r="J220" i="31" s="1"/>
  <c r="K220" i="31" s="1"/>
  <c r="L220" i="31" s="1"/>
  <c r="M220" i="31" s="1"/>
  <c r="N220" i="31" s="1"/>
  <c r="O220" i="31" s="1"/>
  <c r="P220" i="31" s="1"/>
  <c r="B220" i="31"/>
  <c r="D219" i="31"/>
  <c r="D222" i="31" s="1"/>
  <c r="B219" i="31"/>
  <c r="E218" i="31"/>
  <c r="F218" i="31" s="1"/>
  <c r="G218" i="31" s="1"/>
  <c r="H218" i="31" s="1"/>
  <c r="I218" i="31" s="1"/>
  <c r="J218" i="31" s="1"/>
  <c r="K218" i="31" s="1"/>
  <c r="L218" i="31" s="1"/>
  <c r="M218" i="31" s="1"/>
  <c r="N218" i="31" s="1"/>
  <c r="O218" i="31" s="1"/>
  <c r="P218" i="31" s="1"/>
  <c r="D218" i="31"/>
  <c r="B218" i="31"/>
  <c r="D217" i="31"/>
  <c r="E217" i="31" s="1"/>
  <c r="F217" i="31" s="1"/>
  <c r="G217" i="31" s="1"/>
  <c r="H217" i="31" s="1"/>
  <c r="I217" i="31" s="1"/>
  <c r="J217" i="31" s="1"/>
  <c r="K217" i="31" s="1"/>
  <c r="L217" i="31" s="1"/>
  <c r="M217" i="31" s="1"/>
  <c r="N217" i="31" s="1"/>
  <c r="O217" i="31" s="1"/>
  <c r="P217" i="31" s="1"/>
  <c r="B217" i="31"/>
  <c r="D216" i="31"/>
  <c r="E216" i="31" s="1"/>
  <c r="B216" i="31"/>
  <c r="B222" i="31" s="1"/>
  <c r="AG214" i="31"/>
  <c r="AF214" i="31"/>
  <c r="AE214" i="31"/>
  <c r="AD214" i="31"/>
  <c r="AC214" i="31"/>
  <c r="AB214" i="31"/>
  <c r="AA214" i="31"/>
  <c r="Z214" i="31"/>
  <c r="Y214" i="31"/>
  <c r="X214" i="31"/>
  <c r="W214" i="31"/>
  <c r="V214" i="31"/>
  <c r="U214" i="31"/>
  <c r="T214" i="31"/>
  <c r="S214" i="31"/>
  <c r="R214" i="31"/>
  <c r="Q214" i="31"/>
  <c r="P214" i="31"/>
  <c r="O214" i="31"/>
  <c r="N214" i="31"/>
  <c r="M214" i="31"/>
  <c r="L214" i="31"/>
  <c r="K214" i="31"/>
  <c r="J214" i="31"/>
  <c r="I214" i="31"/>
  <c r="H214" i="31"/>
  <c r="G214" i="31"/>
  <c r="F214" i="31"/>
  <c r="E214" i="31"/>
  <c r="D214" i="31"/>
  <c r="C214" i="31"/>
  <c r="B214" i="31"/>
  <c r="AH107" i="31"/>
  <c r="AI107" i="31" s="1"/>
  <c r="AH106" i="31"/>
  <c r="AI106" i="31" s="1"/>
  <c r="AH105" i="31"/>
  <c r="AI105" i="31" s="1"/>
  <c r="AH104" i="31"/>
  <c r="AI104" i="31" s="1"/>
  <c r="AH103" i="31"/>
  <c r="AI103" i="31" s="1"/>
  <c r="AH102" i="31"/>
  <c r="AI102" i="31" s="1"/>
  <c r="AH101" i="31"/>
  <c r="AI101" i="31" s="1"/>
  <c r="AH99" i="31"/>
  <c r="AI99" i="31" s="1"/>
  <c r="AF98" i="31"/>
  <c r="AE98" i="31"/>
  <c r="AD98" i="31"/>
  <c r="AC98" i="31"/>
  <c r="AB98" i="31"/>
  <c r="AA98" i="31"/>
  <c r="Z98" i="31"/>
  <c r="V98" i="31"/>
  <c r="U98" i="31"/>
  <c r="T98" i="31"/>
  <c r="S98" i="31"/>
  <c r="R98" i="31"/>
  <c r="Q98" i="31"/>
  <c r="D98" i="31"/>
  <c r="C98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90" i="31"/>
  <c r="AH90" i="31"/>
  <c r="AI89" i="31"/>
  <c r="AH89" i="31"/>
  <c r="B87" i="31"/>
  <c r="AI86" i="31"/>
  <c r="AH86" i="31"/>
  <c r="AF85" i="31"/>
  <c r="AE85" i="31"/>
  <c r="AD85" i="31"/>
  <c r="AC85" i="31"/>
  <c r="AB85" i="31"/>
  <c r="AA85" i="31"/>
  <c r="Z85" i="31"/>
  <c r="V85" i="31"/>
  <c r="U85" i="31"/>
  <c r="T85" i="31"/>
  <c r="S85" i="31"/>
  <c r="R85" i="31"/>
  <c r="Q85" i="31"/>
  <c r="P85" i="31"/>
  <c r="O85" i="31"/>
  <c r="N85" i="31"/>
  <c r="M85" i="31"/>
  <c r="M87" i="31" s="1"/>
  <c r="L85" i="31"/>
  <c r="K85" i="31"/>
  <c r="J85" i="31"/>
  <c r="I85" i="31"/>
  <c r="H85" i="31"/>
  <c r="G85" i="31"/>
  <c r="F85" i="31"/>
  <c r="E85" i="31"/>
  <c r="D85" i="31"/>
  <c r="C85" i="31"/>
  <c r="AF84" i="31"/>
  <c r="AE84" i="31"/>
  <c r="AD84" i="31"/>
  <c r="AC84" i="31"/>
  <c r="AB84" i="31"/>
  <c r="AA84" i="31"/>
  <c r="Z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AF83" i="31"/>
  <c r="AE83" i="31"/>
  <c r="AD83" i="31"/>
  <c r="AC83" i="31"/>
  <c r="AB83" i="31"/>
  <c r="AA83" i="31"/>
  <c r="Z83" i="31"/>
  <c r="Z87" i="31" s="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AF82" i="31"/>
  <c r="AE82" i="31"/>
  <c r="AD82" i="31"/>
  <c r="AC82" i="31"/>
  <c r="AB82" i="31"/>
  <c r="AA82" i="31"/>
  <c r="Z82" i="31"/>
  <c r="V82" i="31"/>
  <c r="U82" i="31"/>
  <c r="T82" i="31"/>
  <c r="S82" i="31"/>
  <c r="R82" i="31"/>
  <c r="Q82" i="31"/>
  <c r="P82" i="31"/>
  <c r="O82" i="31"/>
  <c r="N82" i="31"/>
  <c r="N87" i="31" s="1"/>
  <c r="M82" i="31"/>
  <c r="L82" i="31"/>
  <c r="K82" i="31"/>
  <c r="J82" i="31"/>
  <c r="I82" i="31"/>
  <c r="H82" i="31"/>
  <c r="G82" i="31"/>
  <c r="F82" i="31"/>
  <c r="F87" i="31" s="1"/>
  <c r="E82" i="31"/>
  <c r="D82" i="31"/>
  <c r="C82" i="31"/>
  <c r="AF81" i="31"/>
  <c r="AF87" i="31" s="1"/>
  <c r="AE81" i="31"/>
  <c r="AD81" i="31"/>
  <c r="AC81" i="31"/>
  <c r="AB81" i="31"/>
  <c r="AA81" i="31"/>
  <c r="AA87" i="31" s="1"/>
  <c r="Z81" i="31"/>
  <c r="V81" i="31"/>
  <c r="U81" i="31"/>
  <c r="T81" i="31"/>
  <c r="S81" i="31"/>
  <c r="R81" i="31"/>
  <c r="Q81" i="31"/>
  <c r="P81" i="31"/>
  <c r="O81" i="31"/>
  <c r="O87" i="31" s="1"/>
  <c r="N81" i="31"/>
  <c r="M81" i="31"/>
  <c r="L81" i="31"/>
  <c r="K81" i="31"/>
  <c r="K87" i="31" s="1"/>
  <c r="J81" i="31"/>
  <c r="I81" i="31"/>
  <c r="H81" i="31"/>
  <c r="G81" i="31"/>
  <c r="F81" i="31"/>
  <c r="E81" i="31"/>
  <c r="D81" i="31"/>
  <c r="C81" i="31"/>
  <c r="AI78" i="31"/>
  <c r="AH78" i="31"/>
  <c r="AI76" i="31"/>
  <c r="AH76" i="31"/>
  <c r="AG76" i="31"/>
  <c r="AI75" i="31"/>
  <c r="AH75" i="31"/>
  <c r="AI74" i="31"/>
  <c r="AH74" i="31"/>
  <c r="AI73" i="31"/>
  <c r="AH73" i="31"/>
  <c r="AG72" i="31"/>
  <c r="AF72" i="31"/>
  <c r="AE5" i="31" s="1"/>
  <c r="AE72" i="31"/>
  <c r="AD72" i="31"/>
  <c r="AC72" i="31"/>
  <c r="AB72" i="31"/>
  <c r="AA5" i="31" s="1"/>
  <c r="AA72" i="31"/>
  <c r="Z5" i="31" s="1"/>
  <c r="Z72" i="31"/>
  <c r="Y5" i="31" s="1"/>
  <c r="V72" i="31"/>
  <c r="U5" i="31" s="1"/>
  <c r="U72" i="31"/>
  <c r="T5" i="31" s="1"/>
  <c r="T72" i="31"/>
  <c r="S72" i="31"/>
  <c r="R72" i="31"/>
  <c r="Q5" i="31" s="1"/>
  <c r="Q72" i="31"/>
  <c r="P72" i="31"/>
  <c r="O72" i="31"/>
  <c r="N72" i="31"/>
  <c r="N88" i="31" s="1"/>
  <c r="M72" i="31"/>
  <c r="L72" i="31"/>
  <c r="K72" i="31"/>
  <c r="J72" i="31"/>
  <c r="I5" i="31" s="1"/>
  <c r="I72" i="31"/>
  <c r="H5" i="31" s="1"/>
  <c r="H72" i="31"/>
  <c r="G5" i="31" s="1"/>
  <c r="G72" i="31"/>
  <c r="F5" i="31" s="1"/>
  <c r="F72" i="31"/>
  <c r="F88" i="31" s="1"/>
  <c r="E72" i="31"/>
  <c r="D5" i="31" s="1"/>
  <c r="D72" i="31"/>
  <c r="C5" i="31" s="1"/>
  <c r="C72" i="31"/>
  <c r="B5" i="31" s="1"/>
  <c r="AF5" i="31"/>
  <c r="AI71" i="31"/>
  <c r="AH71" i="31"/>
  <c r="AI70" i="31"/>
  <c r="AH70" i="31"/>
  <c r="AI69" i="31"/>
  <c r="AH69" i="3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G60" i="31"/>
  <c r="AF60" i="31"/>
  <c r="AE60" i="31"/>
  <c r="AD60" i="31"/>
  <c r="AC60" i="31"/>
  <c r="AB60" i="31"/>
  <c r="AA60" i="31"/>
  <c r="Z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I59" i="31"/>
  <c r="AH59" i="31"/>
  <c r="AI58" i="31"/>
  <c r="AH58" i="31"/>
  <c r="AI57" i="31"/>
  <c r="AH57" i="31"/>
  <c r="AF56" i="31"/>
  <c r="AE56" i="31"/>
  <c r="AD56" i="31"/>
  <c r="AC56" i="31"/>
  <c r="AB56" i="31"/>
  <c r="AA56" i="31"/>
  <c r="Z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G42" i="31"/>
  <c r="AF42" i="31"/>
  <c r="AE42" i="31"/>
  <c r="AD42" i="31"/>
  <c r="AC42" i="31"/>
  <c r="AB42" i="31"/>
  <c r="AA42" i="31"/>
  <c r="Z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I41" i="31"/>
  <c r="AH41" i="31"/>
  <c r="AI40" i="31"/>
  <c r="AH40" i="31"/>
  <c r="AI39" i="31"/>
  <c r="AH39" i="31"/>
  <c r="AG38" i="31"/>
  <c r="AG77" i="31" s="1"/>
  <c r="AF38" i="31"/>
  <c r="AE38" i="31"/>
  <c r="AD38" i="31"/>
  <c r="AC38" i="31"/>
  <c r="AB38" i="31"/>
  <c r="AA38" i="31"/>
  <c r="Z38" i="31"/>
  <c r="V38" i="31"/>
  <c r="U38" i="31"/>
  <c r="T38" i="31"/>
  <c r="S38" i="31"/>
  <c r="R38" i="31"/>
  <c r="R77" i="31" s="1"/>
  <c r="R79" i="31" s="1"/>
  <c r="Q38" i="31"/>
  <c r="P38" i="31"/>
  <c r="O38" i="31"/>
  <c r="N38" i="31"/>
  <c r="M38" i="31"/>
  <c r="L38" i="31"/>
  <c r="K38" i="31"/>
  <c r="K77" i="31" s="1"/>
  <c r="K79" i="31" s="1"/>
  <c r="J38" i="31"/>
  <c r="I38" i="31"/>
  <c r="H38" i="31"/>
  <c r="G38" i="31"/>
  <c r="F38" i="31"/>
  <c r="E38" i="31"/>
  <c r="D38" i="31"/>
  <c r="C38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B5" i="31"/>
  <c r="X5" i="31"/>
  <c r="W5" i="31"/>
  <c r="V5" i="31"/>
  <c r="R5" i="31"/>
  <c r="P5" i="31"/>
  <c r="O5" i="31"/>
  <c r="N5" i="31"/>
  <c r="M5" i="31"/>
  <c r="L5" i="31"/>
  <c r="K5" i="31"/>
  <c r="J5" i="31"/>
  <c r="E5" i="31"/>
  <c r="AG4" i="31"/>
  <c r="K4" i="31"/>
  <c r="B4" i="31"/>
  <c r="S233" i="31" s="1"/>
  <c r="AG2" i="31"/>
  <c r="AF100" i="30"/>
  <c r="AF37" i="30"/>
  <c r="AE37" i="30"/>
  <c r="AC37" i="30"/>
  <c r="AB37" i="30"/>
  <c r="AA100" i="30"/>
  <c r="AA99" i="30"/>
  <c r="Y100" i="30"/>
  <c r="Y99" i="30"/>
  <c r="X100" i="30"/>
  <c r="X99" i="30"/>
  <c r="W99" i="30"/>
  <c r="V100" i="30"/>
  <c r="V99" i="30"/>
  <c r="S100" i="30"/>
  <c r="S37" i="30"/>
  <c r="R100" i="30"/>
  <c r="R37" i="30"/>
  <c r="Q100" i="30"/>
  <c r="Q37" i="30"/>
  <c r="P100" i="30"/>
  <c r="P37" i="30"/>
  <c r="O100" i="30"/>
  <c r="O99" i="30"/>
  <c r="O37" i="30"/>
  <c r="N100" i="30"/>
  <c r="N37" i="30"/>
  <c r="M100" i="30"/>
  <c r="M37" i="30"/>
  <c r="D98" i="30"/>
  <c r="C100" i="30"/>
  <c r="AF260" i="30"/>
  <c r="AE260" i="30"/>
  <c r="AD260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B260" i="30"/>
  <c r="A260" i="30"/>
  <c r="AF259" i="30"/>
  <c r="AE259" i="30"/>
  <c r="AD259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9" i="30"/>
  <c r="C259" i="30"/>
  <c r="B259" i="30"/>
  <c r="A259" i="30"/>
  <c r="AF258" i="30"/>
  <c r="AE258" i="30"/>
  <c r="AD258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E258" i="30"/>
  <c r="D258" i="30"/>
  <c r="C258" i="30"/>
  <c r="B258" i="30"/>
  <c r="A258" i="30"/>
  <c r="AF257" i="30"/>
  <c r="AE257" i="30"/>
  <c r="AD257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E257" i="30"/>
  <c r="D257" i="30"/>
  <c r="C257" i="30"/>
  <c r="B257" i="30"/>
  <c r="A257" i="30"/>
  <c r="AE256" i="30"/>
  <c r="AD256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C256" i="30"/>
  <c r="B256" i="30"/>
  <c r="S231" i="30"/>
  <c r="AG221" i="30"/>
  <c r="AF221" i="30"/>
  <c r="AE221" i="30"/>
  <c r="AD221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C221" i="30"/>
  <c r="F220" i="30"/>
  <c r="E256" i="30" s="1"/>
  <c r="E220" i="30"/>
  <c r="D256" i="30" s="1"/>
  <c r="D220" i="30"/>
  <c r="B220" i="30"/>
  <c r="AF256" i="30" s="1"/>
  <c r="D219" i="30"/>
  <c r="E219" i="30" s="1"/>
  <c r="F219" i="30" s="1"/>
  <c r="G219" i="30" s="1"/>
  <c r="H219" i="30" s="1"/>
  <c r="I219" i="30" s="1"/>
  <c r="J219" i="30" s="1"/>
  <c r="K219" i="30" s="1"/>
  <c r="L219" i="30" s="1"/>
  <c r="M219" i="30" s="1"/>
  <c r="N219" i="30" s="1"/>
  <c r="O219" i="30" s="1"/>
  <c r="P219" i="30" s="1"/>
  <c r="B219" i="30"/>
  <c r="F218" i="30"/>
  <c r="G218" i="30" s="1"/>
  <c r="H218" i="30" s="1"/>
  <c r="I218" i="30" s="1"/>
  <c r="J218" i="30" s="1"/>
  <c r="K218" i="30" s="1"/>
  <c r="L218" i="30" s="1"/>
  <c r="M218" i="30" s="1"/>
  <c r="N218" i="30" s="1"/>
  <c r="O218" i="30" s="1"/>
  <c r="P218" i="30" s="1"/>
  <c r="E218" i="30"/>
  <c r="D218" i="30"/>
  <c r="B218" i="30"/>
  <c r="D217" i="30"/>
  <c r="E217" i="30" s="1"/>
  <c r="F217" i="30" s="1"/>
  <c r="G217" i="30" s="1"/>
  <c r="H217" i="30" s="1"/>
  <c r="I217" i="30" s="1"/>
  <c r="J217" i="30" s="1"/>
  <c r="K217" i="30" s="1"/>
  <c r="L217" i="30" s="1"/>
  <c r="M217" i="30" s="1"/>
  <c r="N217" i="30" s="1"/>
  <c r="O217" i="30" s="1"/>
  <c r="P217" i="30" s="1"/>
  <c r="B217" i="30"/>
  <c r="F216" i="30"/>
  <c r="G216" i="30" s="1"/>
  <c r="H216" i="30" s="1"/>
  <c r="I216" i="30" s="1"/>
  <c r="J216" i="30" s="1"/>
  <c r="K216" i="30" s="1"/>
  <c r="L216" i="30" s="1"/>
  <c r="M216" i="30" s="1"/>
  <c r="N216" i="30" s="1"/>
  <c r="O216" i="30" s="1"/>
  <c r="P216" i="30" s="1"/>
  <c r="E216" i="30"/>
  <c r="D216" i="30"/>
  <c r="B216" i="30"/>
  <c r="D215" i="30"/>
  <c r="D221" i="30" s="1"/>
  <c r="B215" i="30"/>
  <c r="B221" i="30" s="1"/>
  <c r="AG213" i="30"/>
  <c r="AF213" i="30"/>
  <c r="AE213" i="30"/>
  <c r="AD213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E213" i="30"/>
  <c r="D213" i="30"/>
  <c r="C213" i="30"/>
  <c r="B213" i="30"/>
  <c r="AH106" i="30"/>
  <c r="AI106" i="30" s="1"/>
  <c r="AH105" i="30"/>
  <c r="AI105" i="30" s="1"/>
  <c r="AH104" i="30"/>
  <c r="AI104" i="30" s="1"/>
  <c r="AH103" i="30"/>
  <c r="AI103" i="30" s="1"/>
  <c r="AH102" i="30"/>
  <c r="AI102" i="30" s="1"/>
  <c r="AH101" i="30"/>
  <c r="AI101" i="30" s="1"/>
  <c r="AH99" i="30"/>
  <c r="AI99" i="30" s="1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C98" i="30"/>
  <c r="AI97" i="30"/>
  <c r="AH97" i="30"/>
  <c r="AI96" i="30"/>
  <c r="AH96" i="30"/>
  <c r="AI95" i="30"/>
  <c r="AH95" i="30"/>
  <c r="AI94" i="30"/>
  <c r="AH94" i="30"/>
  <c r="AI93" i="30"/>
  <c r="AH93" i="30"/>
  <c r="AI92" i="30"/>
  <c r="AH92" i="30"/>
  <c r="AI91" i="30"/>
  <c r="AH91" i="30"/>
  <c r="AI90" i="30"/>
  <c r="AH90" i="30"/>
  <c r="AI89" i="30"/>
  <c r="AH89" i="30"/>
  <c r="AI86" i="30"/>
  <c r="AH86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AF81" i="30"/>
  <c r="AE81" i="30"/>
  <c r="AE87" i="30" s="1"/>
  <c r="AD81" i="30"/>
  <c r="AC81" i="30"/>
  <c r="AB81" i="30"/>
  <c r="AB87" i="30" s="1"/>
  <c r="AA81" i="30"/>
  <c r="Z81" i="30"/>
  <c r="Y81" i="30"/>
  <c r="X81" i="30"/>
  <c r="X87" i="30" s="1"/>
  <c r="W81" i="30"/>
  <c r="V81" i="30"/>
  <c r="U81" i="30"/>
  <c r="T81" i="30"/>
  <c r="S81" i="30"/>
  <c r="R81" i="30"/>
  <c r="Q81" i="30"/>
  <c r="Q87" i="30" s="1"/>
  <c r="P81" i="30"/>
  <c r="P87" i="30" s="1"/>
  <c r="O81" i="30"/>
  <c r="N81" i="30"/>
  <c r="M81" i="30"/>
  <c r="L81" i="30"/>
  <c r="K81" i="30"/>
  <c r="J81" i="30"/>
  <c r="I81" i="30"/>
  <c r="I87" i="30" s="1"/>
  <c r="H81" i="30"/>
  <c r="H87" i="30" s="1"/>
  <c r="G81" i="30"/>
  <c r="F81" i="30"/>
  <c r="E81" i="30"/>
  <c r="D81" i="30"/>
  <c r="C81" i="30"/>
  <c r="AI78" i="30"/>
  <c r="AH78" i="30"/>
  <c r="AI76" i="30"/>
  <c r="AH76" i="30"/>
  <c r="AG76" i="30"/>
  <c r="AI75" i="30"/>
  <c r="AH75" i="30"/>
  <c r="AI74" i="30"/>
  <c r="AH74" i="30"/>
  <c r="AI73" i="30"/>
  <c r="AH73" i="30"/>
  <c r="AG72" i="30"/>
  <c r="AF72" i="30"/>
  <c r="AE5" i="30" s="1"/>
  <c r="AE72" i="30"/>
  <c r="AD72" i="30"/>
  <c r="AC72" i="30"/>
  <c r="AB72" i="30"/>
  <c r="AA72" i="30"/>
  <c r="Z72" i="30"/>
  <c r="Y72" i="30"/>
  <c r="X5" i="30" s="1"/>
  <c r="X72" i="30"/>
  <c r="W5" i="30" s="1"/>
  <c r="W72" i="30"/>
  <c r="V5" i="30" s="1"/>
  <c r="V72" i="30"/>
  <c r="U72" i="30"/>
  <c r="T5" i="30" s="1"/>
  <c r="T72" i="30"/>
  <c r="S72" i="30"/>
  <c r="R5" i="30" s="1"/>
  <c r="R72" i="30"/>
  <c r="Q5" i="30" s="1"/>
  <c r="Q72" i="30"/>
  <c r="P5" i="30" s="1"/>
  <c r="P72" i="30"/>
  <c r="O72" i="30"/>
  <c r="N5" i="30" s="1"/>
  <c r="N72" i="30"/>
  <c r="M72" i="30"/>
  <c r="L72" i="30"/>
  <c r="K72" i="30"/>
  <c r="J72" i="30"/>
  <c r="I72" i="30"/>
  <c r="H5" i="30" s="1"/>
  <c r="H72" i="30"/>
  <c r="G72" i="30"/>
  <c r="F5" i="30" s="1"/>
  <c r="F72" i="30"/>
  <c r="E72" i="30"/>
  <c r="D72" i="30"/>
  <c r="C72" i="30"/>
  <c r="AI71" i="30"/>
  <c r="AH71" i="30"/>
  <c r="AI70" i="30"/>
  <c r="AH70" i="30"/>
  <c r="AI69" i="30"/>
  <c r="AH69" i="30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I59" i="30"/>
  <c r="AH59" i="30"/>
  <c r="AI58" i="30"/>
  <c r="AH58" i="30"/>
  <c r="AI57" i="30"/>
  <c r="AH57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I55" i="30"/>
  <c r="AH55" i="30"/>
  <c r="AG55" i="30"/>
  <c r="AG56" i="30" s="1"/>
  <c r="AG3" i="30" s="1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I41" i="30"/>
  <c r="AH41" i="30"/>
  <c r="AI40" i="30"/>
  <c r="AH40" i="30"/>
  <c r="AI39" i="30"/>
  <c r="AH39" i="30"/>
  <c r="AG38" i="30"/>
  <c r="AF38" i="30"/>
  <c r="AE38" i="30"/>
  <c r="AD38" i="30"/>
  <c r="AD77" i="30" s="1"/>
  <c r="AD79" i="30" s="1"/>
  <c r="AC38" i="30"/>
  <c r="AB38" i="30"/>
  <c r="AA38" i="30"/>
  <c r="Z38" i="30"/>
  <c r="Z77" i="30" s="1"/>
  <c r="Z79" i="30" s="1"/>
  <c r="Y38" i="30"/>
  <c r="X38" i="30"/>
  <c r="W38" i="30"/>
  <c r="V38" i="30"/>
  <c r="V77" i="30" s="1"/>
  <c r="V79" i="30" s="1"/>
  <c r="U38" i="30"/>
  <c r="T38" i="30"/>
  <c r="S38" i="30"/>
  <c r="R38" i="30"/>
  <c r="R77" i="30" s="1"/>
  <c r="R79" i="30" s="1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I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AD5" i="30"/>
  <c r="Y5" i="30"/>
  <c r="U5" i="30"/>
  <c r="O5" i="30"/>
  <c r="G5" i="30"/>
  <c r="AG4" i="30"/>
  <c r="K4" i="30"/>
  <c r="B4" i="30"/>
  <c r="S232" i="30" s="1"/>
  <c r="AG2" i="30"/>
  <c r="AF261" i="29"/>
  <c r="AE261" i="29"/>
  <c r="AD261" i="29"/>
  <c r="AC261" i="29"/>
  <c r="AB261" i="29"/>
  <c r="AA261" i="29"/>
  <c r="Z261" i="29"/>
  <c r="Y261" i="29"/>
  <c r="X261" i="29"/>
  <c r="W261" i="29"/>
  <c r="V261" i="29"/>
  <c r="U261" i="29"/>
  <c r="T261" i="29"/>
  <c r="S261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A261" i="29"/>
  <c r="AF260" i="29"/>
  <c r="AE260" i="29"/>
  <c r="AD260" i="29"/>
  <c r="AC260" i="29"/>
  <c r="AB260" i="29"/>
  <c r="AA260" i="29"/>
  <c r="Z260" i="29"/>
  <c r="Y260" i="29"/>
  <c r="X260" i="29"/>
  <c r="W260" i="29"/>
  <c r="V260" i="29"/>
  <c r="U260" i="29"/>
  <c r="T260" i="29"/>
  <c r="S260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A260" i="29"/>
  <c r="AF259" i="29"/>
  <c r="AE259" i="29"/>
  <c r="AD259" i="29"/>
  <c r="AC259" i="29"/>
  <c r="AB259" i="29"/>
  <c r="AA259" i="29"/>
  <c r="Z259" i="29"/>
  <c r="Y259" i="29"/>
  <c r="X259" i="29"/>
  <c r="W259" i="29"/>
  <c r="V259" i="29"/>
  <c r="U259" i="29"/>
  <c r="T259" i="29"/>
  <c r="S259" i="29"/>
  <c r="R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E259" i="29"/>
  <c r="D259" i="29"/>
  <c r="C259" i="29"/>
  <c r="B259" i="29"/>
  <c r="A259" i="29"/>
  <c r="AF258" i="29"/>
  <c r="AE258" i="29"/>
  <c r="AD258" i="29"/>
  <c r="AC258" i="29"/>
  <c r="AB258" i="29"/>
  <c r="AA258" i="29"/>
  <c r="Z258" i="29"/>
  <c r="Y258" i="29"/>
  <c r="X258" i="29"/>
  <c r="W258" i="29"/>
  <c r="V258" i="29"/>
  <c r="U258" i="29"/>
  <c r="T258" i="29"/>
  <c r="S258" i="29"/>
  <c r="R258" i="29"/>
  <c r="Q258" i="29"/>
  <c r="P258" i="29"/>
  <c r="O258" i="29"/>
  <c r="N258" i="29"/>
  <c r="M258" i="29"/>
  <c r="L258" i="29"/>
  <c r="K258" i="29"/>
  <c r="J258" i="29"/>
  <c r="I258" i="29"/>
  <c r="H258" i="29"/>
  <c r="G258" i="29"/>
  <c r="F258" i="29"/>
  <c r="E258" i="29"/>
  <c r="D258" i="29"/>
  <c r="C258" i="29"/>
  <c r="B258" i="29"/>
  <c r="A258" i="29"/>
  <c r="AE257" i="29"/>
  <c r="AD257" i="29"/>
  <c r="AC257" i="29"/>
  <c r="AB257" i="29"/>
  <c r="AA257" i="29"/>
  <c r="Z257" i="29"/>
  <c r="Y257" i="29"/>
  <c r="X257" i="29"/>
  <c r="W257" i="29"/>
  <c r="V257" i="29"/>
  <c r="U257" i="29"/>
  <c r="T257" i="29"/>
  <c r="S257" i="29"/>
  <c r="R257" i="29"/>
  <c r="Q257" i="29"/>
  <c r="P257" i="29"/>
  <c r="B257" i="29"/>
  <c r="S232" i="29"/>
  <c r="AG222" i="29"/>
  <c r="AF222" i="29"/>
  <c r="AE222" i="29"/>
  <c r="AD222" i="29"/>
  <c r="AC222" i="29"/>
  <c r="AB222" i="29"/>
  <c r="AA222" i="29"/>
  <c r="Z222" i="29"/>
  <c r="Y222" i="29"/>
  <c r="X222" i="29"/>
  <c r="W222" i="29"/>
  <c r="V222" i="29"/>
  <c r="U222" i="29"/>
  <c r="T222" i="29"/>
  <c r="S222" i="29"/>
  <c r="R222" i="29"/>
  <c r="Q222" i="29"/>
  <c r="D222" i="29"/>
  <c r="C222" i="29"/>
  <c r="E221" i="29"/>
  <c r="D257" i="29" s="1"/>
  <c r="D221" i="29"/>
  <c r="C257" i="29" s="1"/>
  <c r="B221" i="29"/>
  <c r="AF257" i="29" s="1"/>
  <c r="D220" i="29"/>
  <c r="E220" i="29" s="1"/>
  <c r="F220" i="29" s="1"/>
  <c r="G220" i="29" s="1"/>
  <c r="H220" i="29" s="1"/>
  <c r="I220" i="29" s="1"/>
  <c r="J220" i="29" s="1"/>
  <c r="K220" i="29" s="1"/>
  <c r="L220" i="29" s="1"/>
  <c r="M220" i="29" s="1"/>
  <c r="N220" i="29" s="1"/>
  <c r="O220" i="29" s="1"/>
  <c r="P220" i="29" s="1"/>
  <c r="B220" i="29"/>
  <c r="E219" i="29"/>
  <c r="F219" i="29" s="1"/>
  <c r="G219" i="29" s="1"/>
  <c r="H219" i="29" s="1"/>
  <c r="I219" i="29" s="1"/>
  <c r="J219" i="29" s="1"/>
  <c r="K219" i="29" s="1"/>
  <c r="L219" i="29" s="1"/>
  <c r="M219" i="29" s="1"/>
  <c r="N219" i="29" s="1"/>
  <c r="O219" i="29" s="1"/>
  <c r="P219" i="29" s="1"/>
  <c r="D219" i="29"/>
  <c r="B219" i="29"/>
  <c r="E218" i="29"/>
  <c r="F218" i="29" s="1"/>
  <c r="G218" i="29" s="1"/>
  <c r="H218" i="29" s="1"/>
  <c r="I218" i="29" s="1"/>
  <c r="J218" i="29" s="1"/>
  <c r="K218" i="29" s="1"/>
  <c r="L218" i="29" s="1"/>
  <c r="M218" i="29" s="1"/>
  <c r="N218" i="29" s="1"/>
  <c r="O218" i="29" s="1"/>
  <c r="P218" i="29" s="1"/>
  <c r="D218" i="29"/>
  <c r="B218" i="29"/>
  <c r="E217" i="29"/>
  <c r="F217" i="29" s="1"/>
  <c r="G217" i="29" s="1"/>
  <c r="H217" i="29" s="1"/>
  <c r="I217" i="29" s="1"/>
  <c r="J217" i="29" s="1"/>
  <c r="K217" i="29" s="1"/>
  <c r="L217" i="29" s="1"/>
  <c r="M217" i="29" s="1"/>
  <c r="N217" i="29" s="1"/>
  <c r="O217" i="29" s="1"/>
  <c r="P217" i="29" s="1"/>
  <c r="D217" i="29"/>
  <c r="B217" i="29"/>
  <c r="D216" i="29"/>
  <c r="E216" i="29" s="1"/>
  <c r="B216" i="29"/>
  <c r="B222" i="29" s="1"/>
  <c r="AG214" i="29"/>
  <c r="AF214" i="29"/>
  <c r="AE214" i="29"/>
  <c r="AD214" i="29"/>
  <c r="AC214" i="29"/>
  <c r="AB214" i="29"/>
  <c r="AA214" i="29"/>
  <c r="Z214" i="29"/>
  <c r="Y214" i="29"/>
  <c r="X214" i="29"/>
  <c r="W214" i="29"/>
  <c r="V214" i="29"/>
  <c r="U214" i="29"/>
  <c r="T214" i="29"/>
  <c r="S214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E214" i="29"/>
  <c r="D214" i="29"/>
  <c r="C214" i="29"/>
  <c r="B214" i="29"/>
  <c r="AH107" i="29"/>
  <c r="AI107" i="29" s="1"/>
  <c r="AH106" i="29"/>
  <c r="AI106" i="29" s="1"/>
  <c r="AH105" i="29"/>
  <c r="AI105" i="29" s="1"/>
  <c r="AH104" i="29"/>
  <c r="AI104" i="29" s="1"/>
  <c r="AH103" i="29"/>
  <c r="AI103" i="29" s="1"/>
  <c r="AH102" i="29"/>
  <c r="AI102" i="29" s="1"/>
  <c r="AH101" i="29"/>
  <c r="AI101" i="29" s="1"/>
  <c r="AH99" i="29"/>
  <c r="AI99" i="29" s="1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D98" i="29"/>
  <c r="C98" i="29"/>
  <c r="B98" i="29"/>
  <c r="AI97" i="29"/>
  <c r="AH97" i="29"/>
  <c r="AI96" i="29"/>
  <c r="AH96" i="29"/>
  <c r="AI95" i="29"/>
  <c r="AH95" i="29"/>
  <c r="AI94" i="29"/>
  <c r="AH94" i="29"/>
  <c r="AI93" i="29"/>
  <c r="AH93" i="29"/>
  <c r="AI92" i="29"/>
  <c r="AH92" i="29"/>
  <c r="AI91" i="29"/>
  <c r="AH91" i="29"/>
  <c r="AI90" i="29"/>
  <c r="AH90" i="29"/>
  <c r="AI89" i="29"/>
  <c r="AH89" i="29"/>
  <c r="AI86" i="29"/>
  <c r="AH86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AI85" i="29" s="1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AH84" i="29" s="1"/>
  <c r="H84" i="29"/>
  <c r="G84" i="29"/>
  <c r="F84" i="29"/>
  <c r="E84" i="29"/>
  <c r="D84" i="29"/>
  <c r="C84" i="29"/>
  <c r="B84" i="29"/>
  <c r="AI84" i="29" s="1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AI83" i="29" s="1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AH82" i="29" s="1"/>
  <c r="B82" i="29"/>
  <c r="AI82" i="29" s="1"/>
  <c r="AF81" i="29"/>
  <c r="AF87" i="29" s="1"/>
  <c r="AE81" i="29"/>
  <c r="AE87" i="29" s="1"/>
  <c r="AD81" i="29"/>
  <c r="AD87" i="29" s="1"/>
  <c r="AC81" i="29"/>
  <c r="AC87" i="29" s="1"/>
  <c r="AB81" i="29"/>
  <c r="AB87" i="29" s="1"/>
  <c r="AA81" i="29"/>
  <c r="AA87" i="29" s="1"/>
  <c r="Z81" i="29"/>
  <c r="Z87" i="29" s="1"/>
  <c r="Y81" i="29"/>
  <c r="Y87" i="29" s="1"/>
  <c r="X81" i="29"/>
  <c r="X87" i="29" s="1"/>
  <c r="W81" i="29"/>
  <c r="W87" i="29" s="1"/>
  <c r="V81" i="29"/>
  <c r="V87" i="29" s="1"/>
  <c r="U81" i="29"/>
  <c r="U87" i="29" s="1"/>
  <c r="T81" i="29"/>
  <c r="T87" i="29" s="1"/>
  <c r="S81" i="29"/>
  <c r="S87" i="29" s="1"/>
  <c r="R81" i="29"/>
  <c r="R87" i="29" s="1"/>
  <c r="Q81" i="29"/>
  <c r="Q87" i="29" s="1"/>
  <c r="P81" i="29"/>
  <c r="P87" i="29" s="1"/>
  <c r="O81" i="29"/>
  <c r="O87" i="29" s="1"/>
  <c r="N81" i="29"/>
  <c r="N87" i="29" s="1"/>
  <c r="M81" i="29"/>
  <c r="M87" i="29" s="1"/>
  <c r="L81" i="29"/>
  <c r="L87" i="29" s="1"/>
  <c r="K81" i="29"/>
  <c r="K87" i="29" s="1"/>
  <c r="J81" i="29"/>
  <c r="J87" i="29" s="1"/>
  <c r="I81" i="29"/>
  <c r="I87" i="29" s="1"/>
  <c r="H81" i="29"/>
  <c r="H87" i="29" s="1"/>
  <c r="G81" i="29"/>
  <c r="G87" i="29" s="1"/>
  <c r="F81" i="29"/>
  <c r="F87" i="29" s="1"/>
  <c r="E81" i="29"/>
  <c r="E87" i="29" s="1"/>
  <c r="D81" i="29"/>
  <c r="D87" i="29" s="1"/>
  <c r="C81" i="29"/>
  <c r="C87" i="29" s="1"/>
  <c r="B81" i="29"/>
  <c r="AI81" i="29" s="1"/>
  <c r="AI78" i="29"/>
  <c r="AH78" i="29"/>
  <c r="AI76" i="29"/>
  <c r="AH76" i="29"/>
  <c r="AG76" i="29"/>
  <c r="AG79" i="29" s="1"/>
  <c r="AI75" i="29"/>
  <c r="AH75" i="29"/>
  <c r="AI74" i="29"/>
  <c r="AH74" i="29"/>
  <c r="AI73" i="29"/>
  <c r="AH73" i="29"/>
  <c r="AG72" i="29"/>
  <c r="AF72" i="29"/>
  <c r="AF88" i="29" s="1"/>
  <c r="AE72" i="29"/>
  <c r="AE88" i="29" s="1"/>
  <c r="AD72" i="29"/>
  <c r="AD88" i="29" s="1"/>
  <c r="AC72" i="29"/>
  <c r="AB72" i="29"/>
  <c r="AA72" i="29"/>
  <c r="Z72" i="29"/>
  <c r="Z88" i="29" s="1"/>
  <c r="Y72" i="29"/>
  <c r="Y88" i="29" s="1"/>
  <c r="X72" i="29"/>
  <c r="X88" i="29" s="1"/>
  <c r="W72" i="29"/>
  <c r="W88" i="29" s="1"/>
  <c r="V72" i="29"/>
  <c r="V88" i="29" s="1"/>
  <c r="U72" i="29"/>
  <c r="T72" i="29"/>
  <c r="S72" i="29"/>
  <c r="R72" i="29"/>
  <c r="R88" i="29" s="1"/>
  <c r="Q72" i="29"/>
  <c r="Q88" i="29" s="1"/>
  <c r="P72" i="29"/>
  <c r="P88" i="29" s="1"/>
  <c r="O72" i="29"/>
  <c r="O88" i="29" s="1"/>
  <c r="N72" i="29"/>
  <c r="N88" i="29" s="1"/>
  <c r="M72" i="29"/>
  <c r="L72" i="29"/>
  <c r="K72" i="29"/>
  <c r="J72" i="29"/>
  <c r="J88" i="29" s="1"/>
  <c r="I72" i="29"/>
  <c r="I88" i="29" s="1"/>
  <c r="H72" i="29"/>
  <c r="H88" i="29" s="1"/>
  <c r="G72" i="29"/>
  <c r="G88" i="29" s="1"/>
  <c r="F72" i="29"/>
  <c r="F88" i="29" s="1"/>
  <c r="E72" i="29"/>
  <c r="D72" i="29"/>
  <c r="C72" i="29"/>
  <c r="B72" i="29"/>
  <c r="AI71" i="29"/>
  <c r="AH71" i="29"/>
  <c r="AI70" i="29"/>
  <c r="AH70" i="29"/>
  <c r="AI69" i="29"/>
  <c r="AH69" i="29"/>
  <c r="AI68" i="29"/>
  <c r="AH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AI60" i="29" s="1"/>
  <c r="AI59" i="29"/>
  <c r="AH59" i="29"/>
  <c r="AI58" i="29"/>
  <c r="AH58" i="29"/>
  <c r="AI57" i="29"/>
  <c r="AH57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AI56" i="29" s="1"/>
  <c r="AI55" i="29"/>
  <c r="AH55" i="29"/>
  <c r="AG55" i="29"/>
  <c r="AG56" i="29" s="1"/>
  <c r="AG3" i="29" s="1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AH42" i="29" s="1"/>
  <c r="AI41" i="29"/>
  <c r="AH41" i="29"/>
  <c r="AI40" i="29"/>
  <c r="AH40" i="29"/>
  <c r="AI39" i="29"/>
  <c r="AH39" i="29"/>
  <c r="AG38" i="29"/>
  <c r="AF38" i="29"/>
  <c r="AF77" i="29" s="1"/>
  <c r="AF79" i="29" s="1"/>
  <c r="AE38" i="29"/>
  <c r="AE77" i="29" s="1"/>
  <c r="AE79" i="29" s="1"/>
  <c r="AD38" i="29"/>
  <c r="AD77" i="29" s="1"/>
  <c r="AD79" i="29" s="1"/>
  <c r="AC38" i="29"/>
  <c r="AC77" i="29" s="1"/>
  <c r="AC79" i="29" s="1"/>
  <c r="AB38" i="29"/>
  <c r="AB77" i="29" s="1"/>
  <c r="AB79" i="29" s="1"/>
  <c r="AA38" i="29"/>
  <c r="AA77" i="29" s="1"/>
  <c r="AA79" i="29" s="1"/>
  <c r="Z38" i="29"/>
  <c r="Z77" i="29" s="1"/>
  <c r="Z79" i="29" s="1"/>
  <c r="Y38" i="29"/>
  <c r="Y77" i="29" s="1"/>
  <c r="Y79" i="29" s="1"/>
  <c r="X38" i="29"/>
  <c r="X77" i="29" s="1"/>
  <c r="X79" i="29" s="1"/>
  <c r="W38" i="29"/>
  <c r="W77" i="29" s="1"/>
  <c r="W79" i="29" s="1"/>
  <c r="V38" i="29"/>
  <c r="V77" i="29" s="1"/>
  <c r="V79" i="29" s="1"/>
  <c r="U38" i="29"/>
  <c r="U77" i="29" s="1"/>
  <c r="U79" i="29" s="1"/>
  <c r="T38" i="29"/>
  <c r="T77" i="29" s="1"/>
  <c r="T79" i="29" s="1"/>
  <c r="S38" i="29"/>
  <c r="S77" i="29" s="1"/>
  <c r="S79" i="29" s="1"/>
  <c r="R38" i="29"/>
  <c r="R77" i="29" s="1"/>
  <c r="R79" i="29" s="1"/>
  <c r="Q38" i="29"/>
  <c r="Q77" i="29" s="1"/>
  <c r="Q79" i="29" s="1"/>
  <c r="P38" i="29"/>
  <c r="P77" i="29" s="1"/>
  <c r="P79" i="29" s="1"/>
  <c r="O38" i="29"/>
  <c r="O77" i="29" s="1"/>
  <c r="O79" i="29" s="1"/>
  <c r="N38" i="29"/>
  <c r="N77" i="29" s="1"/>
  <c r="N79" i="29" s="1"/>
  <c r="M38" i="29"/>
  <c r="M77" i="29" s="1"/>
  <c r="M79" i="29" s="1"/>
  <c r="L38" i="29"/>
  <c r="L77" i="29" s="1"/>
  <c r="L79" i="29" s="1"/>
  <c r="K38" i="29"/>
  <c r="K77" i="29" s="1"/>
  <c r="K79" i="29" s="1"/>
  <c r="J38" i="29"/>
  <c r="J77" i="29" s="1"/>
  <c r="J79" i="29" s="1"/>
  <c r="I38" i="29"/>
  <c r="I77" i="29" s="1"/>
  <c r="I79" i="29" s="1"/>
  <c r="H38" i="29"/>
  <c r="H77" i="29" s="1"/>
  <c r="H79" i="29" s="1"/>
  <c r="G38" i="29"/>
  <c r="G77" i="29" s="1"/>
  <c r="G79" i="29" s="1"/>
  <c r="F38" i="29"/>
  <c r="F77" i="29" s="1"/>
  <c r="F79" i="29" s="1"/>
  <c r="E38" i="29"/>
  <c r="E77" i="29" s="1"/>
  <c r="E79" i="29" s="1"/>
  <c r="D38" i="29"/>
  <c r="D77" i="29" s="1"/>
  <c r="D79" i="29" s="1"/>
  <c r="C38" i="29"/>
  <c r="C77" i="29" s="1"/>
  <c r="C79" i="29" s="1"/>
  <c r="B38" i="29"/>
  <c r="B77" i="29" s="1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AG4" i="29"/>
  <c r="K4" i="29"/>
  <c r="B4" i="29"/>
  <c r="S233" i="29" s="1"/>
  <c r="AG2" i="29"/>
  <c r="AG6" i="29" s="1"/>
  <c r="AF100" i="28"/>
  <c r="AF37" i="28"/>
  <c r="AE37" i="28"/>
  <c r="AD37" i="28"/>
  <c r="AC37" i="28"/>
  <c r="AB37" i="28"/>
  <c r="W99" i="28"/>
  <c r="V99" i="28"/>
  <c r="W38" i="28"/>
  <c r="U99" i="28"/>
  <c r="R100" i="28"/>
  <c r="R37" i="28"/>
  <c r="Q100" i="28"/>
  <c r="Q56" i="28"/>
  <c r="Q37" i="28"/>
  <c r="O100" i="28"/>
  <c r="O37" i="28"/>
  <c r="N100" i="28"/>
  <c r="N37" i="28"/>
  <c r="M100" i="28"/>
  <c r="M37" i="28"/>
  <c r="L100" i="28"/>
  <c r="L37" i="28"/>
  <c r="K100" i="28"/>
  <c r="K37" i="28"/>
  <c r="J100" i="28"/>
  <c r="J37" i="28"/>
  <c r="I100" i="28"/>
  <c r="I37" i="28"/>
  <c r="H100" i="28"/>
  <c r="H37" i="28"/>
  <c r="G100" i="28"/>
  <c r="G37" i="28"/>
  <c r="F100" i="28"/>
  <c r="F37" i="28"/>
  <c r="E100" i="28"/>
  <c r="E37" i="28"/>
  <c r="D100" i="28"/>
  <c r="D37" i="28"/>
  <c r="C100" i="28"/>
  <c r="C99" i="28"/>
  <c r="C37" i="28"/>
  <c r="B100" i="28"/>
  <c r="B99" i="28"/>
  <c r="B37" i="28"/>
  <c r="B98" i="28"/>
  <c r="B85" i="28"/>
  <c r="B84" i="28"/>
  <c r="B87" i="28" s="1"/>
  <c r="B88" i="28" s="1"/>
  <c r="B83" i="28"/>
  <c r="B82" i="28"/>
  <c r="B81" i="28"/>
  <c r="B72" i="28"/>
  <c r="B60" i="28"/>
  <c r="B56" i="28"/>
  <c r="B42" i="28"/>
  <c r="B38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E260" i="28"/>
  <c r="D260" i="28"/>
  <c r="C260" i="28"/>
  <c r="B260" i="28"/>
  <c r="A260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E259" i="28"/>
  <c r="D259" i="28"/>
  <c r="C259" i="28"/>
  <c r="B259" i="28"/>
  <c r="A259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E258" i="28"/>
  <c r="D258" i="28"/>
  <c r="C258" i="28"/>
  <c r="B258" i="28"/>
  <c r="A258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E257" i="28"/>
  <c r="D257" i="28"/>
  <c r="C257" i="28"/>
  <c r="B257" i="28"/>
  <c r="A257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D256" i="28"/>
  <c r="C256" i="28"/>
  <c r="B256" i="28"/>
  <c r="S23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C221" i="28"/>
  <c r="F220" i="28"/>
  <c r="E256" i="28" s="1"/>
  <c r="E220" i="28"/>
  <c r="D220" i="28"/>
  <c r="B220" i="28"/>
  <c r="AF256" i="28" s="1"/>
  <c r="D219" i="28"/>
  <c r="E219" i="28" s="1"/>
  <c r="F219" i="28" s="1"/>
  <c r="G219" i="28" s="1"/>
  <c r="H219" i="28" s="1"/>
  <c r="I219" i="28" s="1"/>
  <c r="J219" i="28" s="1"/>
  <c r="K219" i="28" s="1"/>
  <c r="L219" i="28" s="1"/>
  <c r="M219" i="28" s="1"/>
  <c r="N219" i="28" s="1"/>
  <c r="O219" i="28" s="1"/>
  <c r="P219" i="28" s="1"/>
  <c r="B219" i="28"/>
  <c r="J218" i="28"/>
  <c r="K218" i="28" s="1"/>
  <c r="L218" i="28" s="1"/>
  <c r="M218" i="28" s="1"/>
  <c r="N218" i="28" s="1"/>
  <c r="O218" i="28" s="1"/>
  <c r="P218" i="28" s="1"/>
  <c r="D218" i="28"/>
  <c r="E218" i="28" s="1"/>
  <c r="F218" i="28" s="1"/>
  <c r="G218" i="28" s="1"/>
  <c r="H218" i="28" s="1"/>
  <c r="I218" i="28" s="1"/>
  <c r="B218" i="28"/>
  <c r="H217" i="28"/>
  <c r="I217" i="28" s="1"/>
  <c r="J217" i="28" s="1"/>
  <c r="K217" i="28" s="1"/>
  <c r="L217" i="28" s="1"/>
  <c r="M217" i="28" s="1"/>
  <c r="N217" i="28" s="1"/>
  <c r="O217" i="28" s="1"/>
  <c r="P217" i="28" s="1"/>
  <c r="G217" i="28"/>
  <c r="F217" i="28"/>
  <c r="E217" i="28"/>
  <c r="D217" i="28"/>
  <c r="B217" i="28"/>
  <c r="F216" i="28"/>
  <c r="G216" i="28" s="1"/>
  <c r="H216" i="28" s="1"/>
  <c r="I216" i="28" s="1"/>
  <c r="J216" i="28" s="1"/>
  <c r="K216" i="28" s="1"/>
  <c r="L216" i="28" s="1"/>
  <c r="M216" i="28" s="1"/>
  <c r="N216" i="28" s="1"/>
  <c r="O216" i="28" s="1"/>
  <c r="P216" i="28" s="1"/>
  <c r="E216" i="28"/>
  <c r="D216" i="28"/>
  <c r="B216" i="28"/>
  <c r="D215" i="28"/>
  <c r="D221" i="28" s="1"/>
  <c r="B215" i="28"/>
  <c r="B221" i="28" s="1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E213" i="28"/>
  <c r="D213" i="28"/>
  <c r="C213" i="28"/>
  <c r="B213" i="28"/>
  <c r="AH106" i="28"/>
  <c r="AI106" i="28" s="1"/>
  <c r="AH105" i="28"/>
  <c r="AI105" i="28" s="1"/>
  <c r="AH104" i="28"/>
  <c r="AI104" i="28" s="1"/>
  <c r="AH103" i="28"/>
  <c r="AI103" i="28" s="1"/>
  <c r="AH102" i="28"/>
  <c r="AI102" i="28" s="1"/>
  <c r="AH101" i="28"/>
  <c r="AI101" i="28" s="1"/>
  <c r="AH100" i="28"/>
  <c r="AI100" i="28" s="1"/>
  <c r="AH99" i="28"/>
  <c r="AI99" i="28" s="1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D98" i="28"/>
  <c r="C98" i="28"/>
  <c r="AI97" i="28"/>
  <c r="AH97" i="28"/>
  <c r="AI96" i="28"/>
  <c r="AH96" i="28"/>
  <c r="AI95" i="28"/>
  <c r="AH95" i="28"/>
  <c r="AI94" i="28"/>
  <c r="AH94" i="28"/>
  <c r="AI93" i="28"/>
  <c r="AH93" i="28"/>
  <c r="AI92" i="28"/>
  <c r="AH92" i="28"/>
  <c r="AI91" i="28"/>
  <c r="AH91" i="28"/>
  <c r="AI90" i="28"/>
  <c r="AH90" i="28"/>
  <c r="AI89" i="28"/>
  <c r="AH89" i="28"/>
  <c r="AI86" i="28"/>
  <c r="AH86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Q87" i="28" s="1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AF81" i="28"/>
  <c r="AE81" i="28"/>
  <c r="AD81" i="28"/>
  <c r="AC81" i="28"/>
  <c r="AB81" i="28"/>
  <c r="AA81" i="28"/>
  <c r="AA87" i="28" s="1"/>
  <c r="Z81" i="28"/>
  <c r="Y81" i="28"/>
  <c r="X81" i="28"/>
  <c r="X87" i="28" s="1"/>
  <c r="W81" i="28"/>
  <c r="V81" i="28"/>
  <c r="U81" i="28"/>
  <c r="T81" i="28"/>
  <c r="S81" i="28"/>
  <c r="R81" i="28"/>
  <c r="Q81" i="28"/>
  <c r="P81" i="28"/>
  <c r="O81" i="28"/>
  <c r="N81" i="28"/>
  <c r="M81" i="28"/>
  <c r="L81" i="28"/>
  <c r="K81" i="28"/>
  <c r="J81" i="28"/>
  <c r="I81" i="28"/>
  <c r="H81" i="28"/>
  <c r="G81" i="28"/>
  <c r="G87" i="28" s="1"/>
  <c r="F81" i="28"/>
  <c r="E81" i="28"/>
  <c r="D81" i="28"/>
  <c r="D87" i="28" s="1"/>
  <c r="C81" i="28"/>
  <c r="AI78" i="28"/>
  <c r="AH78" i="28"/>
  <c r="AI76" i="28"/>
  <c r="AH76" i="28"/>
  <c r="AG76" i="28"/>
  <c r="AI75" i="28"/>
  <c r="AH75" i="28"/>
  <c r="AI74" i="28"/>
  <c r="AH74" i="28"/>
  <c r="AI73" i="28"/>
  <c r="AH73" i="28"/>
  <c r="AG72" i="28"/>
  <c r="AF72" i="28"/>
  <c r="AE5" i="28" s="1"/>
  <c r="AE72" i="28"/>
  <c r="AD5" i="28" s="1"/>
  <c r="AD72" i="28"/>
  <c r="AC5" i="28" s="1"/>
  <c r="AC72" i="28"/>
  <c r="AB5" i="28" s="1"/>
  <c r="AB72" i="28"/>
  <c r="AA5" i="28" s="1"/>
  <c r="AA72" i="28"/>
  <c r="AA88" i="28" s="1"/>
  <c r="Z72" i="28"/>
  <c r="Y5" i="28" s="1"/>
  <c r="Y72" i="28"/>
  <c r="X72" i="28"/>
  <c r="W5" i="28" s="1"/>
  <c r="W72" i="28"/>
  <c r="V5" i="28" s="1"/>
  <c r="V72" i="28"/>
  <c r="U5" i="28" s="1"/>
  <c r="U72" i="28"/>
  <c r="T5" i="28" s="1"/>
  <c r="T72" i="28"/>
  <c r="S5" i="28" s="1"/>
  <c r="S72" i="28"/>
  <c r="R72" i="28"/>
  <c r="Q5" i="28" s="1"/>
  <c r="Q72" i="28"/>
  <c r="P72" i="28"/>
  <c r="O5" i="28" s="1"/>
  <c r="O72" i="28"/>
  <c r="N5" i="28" s="1"/>
  <c r="N72" i="28"/>
  <c r="M5" i="28" s="1"/>
  <c r="M72" i="28"/>
  <c r="L5" i="28" s="1"/>
  <c r="L72" i="28"/>
  <c r="K5" i="28" s="1"/>
  <c r="K72" i="28"/>
  <c r="J72" i="28"/>
  <c r="I5" i="28" s="1"/>
  <c r="I72" i="28"/>
  <c r="H72" i="28"/>
  <c r="G5" i="28" s="1"/>
  <c r="G72" i="28"/>
  <c r="F5" i="28" s="1"/>
  <c r="F72" i="28"/>
  <c r="E5" i="28" s="1"/>
  <c r="E72" i="28"/>
  <c r="D5" i="28" s="1"/>
  <c r="D72" i="28"/>
  <c r="C5" i="28" s="1"/>
  <c r="C72" i="28"/>
  <c r="B5" i="28" s="1"/>
  <c r="AF5" i="28"/>
  <c r="AI71" i="28"/>
  <c r="AH71" i="28"/>
  <c r="AI70" i="28"/>
  <c r="AH70" i="28"/>
  <c r="AI69" i="28"/>
  <c r="AH69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G60" i="28"/>
  <c r="AG4" i="28" s="1"/>
  <c r="AF60" i="28"/>
  <c r="AE60" i="28"/>
  <c r="AD60" i="28"/>
  <c r="AC60" i="28"/>
  <c r="AB60" i="28"/>
  <c r="AA60" i="28"/>
  <c r="Z60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AI59" i="28"/>
  <c r="AH59" i="28"/>
  <c r="AI58" i="28"/>
  <c r="AH58" i="28"/>
  <c r="AI57" i="28"/>
  <c r="AH57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AI55" i="28"/>
  <c r="AH55" i="28"/>
  <c r="AG55" i="28"/>
  <c r="AG56" i="28" s="1"/>
  <c r="AG3" i="28" s="1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AI41" i="28"/>
  <c r="AH41" i="28"/>
  <c r="AI40" i="28"/>
  <c r="AH40" i="28"/>
  <c r="AI39" i="28"/>
  <c r="AH39" i="28"/>
  <c r="AG38" i="28"/>
  <c r="AF38" i="28"/>
  <c r="AE38" i="28"/>
  <c r="AD38" i="28"/>
  <c r="AC38" i="28"/>
  <c r="AB38" i="28"/>
  <c r="AA38" i="28"/>
  <c r="Z38" i="28"/>
  <c r="Y38" i="28"/>
  <c r="X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K4" i="28"/>
  <c r="B4" i="28"/>
  <c r="AG2" i="28"/>
  <c r="AF100" i="27"/>
  <c r="AF99" i="27"/>
  <c r="AF37" i="27"/>
  <c r="AF38" i="27"/>
  <c r="AF42" i="27"/>
  <c r="AF56" i="27"/>
  <c r="AF60" i="27"/>
  <c r="AF72" i="27"/>
  <c r="AF88" i="27" s="1"/>
  <c r="AF81" i="27"/>
  <c r="AF82" i="27"/>
  <c r="AF83" i="27"/>
  <c r="AF84" i="27"/>
  <c r="AF85" i="27"/>
  <c r="AF87" i="27" s="1"/>
  <c r="AF98" i="27"/>
  <c r="AE100" i="27"/>
  <c r="AE99" i="27"/>
  <c r="AE37" i="27"/>
  <c r="AE38" i="27"/>
  <c r="AE42" i="27"/>
  <c r="AE56" i="27"/>
  <c r="AE60" i="27"/>
  <c r="AE72" i="27"/>
  <c r="AE81" i="27"/>
  <c r="AE82" i="27"/>
  <c r="AE83" i="27"/>
  <c r="AE84" i="27"/>
  <c r="AE85" i="27"/>
  <c r="AE87" i="27" s="1"/>
  <c r="AD100" i="27"/>
  <c r="AD37" i="27"/>
  <c r="AC100" i="27"/>
  <c r="AC37" i="27"/>
  <c r="AB100" i="27"/>
  <c r="AB99" i="27"/>
  <c r="AB37" i="27"/>
  <c r="AA37" i="27"/>
  <c r="Z37" i="27"/>
  <c r="E4" i="31"/>
  <c r="E4" i="29"/>
  <c r="E4" i="30"/>
  <c r="E4" i="28"/>
  <c r="N221" i="36" l="1"/>
  <c r="L257" i="36"/>
  <c r="L222" i="36"/>
  <c r="M216" i="36"/>
  <c r="L98" i="36"/>
  <c r="I98" i="35"/>
  <c r="I222" i="35"/>
  <c r="J216" i="35"/>
  <c r="K221" i="35"/>
  <c r="I257" i="35"/>
  <c r="I216" i="34"/>
  <c r="H98" i="34"/>
  <c r="H222" i="34"/>
  <c r="G257" i="34"/>
  <c r="I221" i="34"/>
  <c r="H257" i="33"/>
  <c r="J221" i="33"/>
  <c r="I216" i="33"/>
  <c r="H222" i="33"/>
  <c r="H98" i="33"/>
  <c r="F257" i="32"/>
  <c r="H221" i="32"/>
  <c r="G98" i="32"/>
  <c r="H217" i="32"/>
  <c r="G222" i="32"/>
  <c r="J216" i="32"/>
  <c r="AF77" i="31"/>
  <c r="AF79" i="31" s="1"/>
  <c r="AE77" i="31"/>
  <c r="AE79" i="31" s="1"/>
  <c r="AD5" i="31"/>
  <c r="AE87" i="31"/>
  <c r="AE88" i="31" s="1"/>
  <c r="AD87" i="31"/>
  <c r="AD88" i="31" s="1"/>
  <c r="AD77" i="31"/>
  <c r="AD79" i="31" s="1"/>
  <c r="AC5" i="31"/>
  <c r="AC87" i="31"/>
  <c r="AC88" i="31" s="1"/>
  <c r="AC77" i="31"/>
  <c r="AC79" i="31" s="1"/>
  <c r="AB87" i="31"/>
  <c r="AB88" i="31" s="1"/>
  <c r="AB77" i="31"/>
  <c r="AB79" i="31" s="1"/>
  <c r="AA88" i="31"/>
  <c r="AA77" i="31"/>
  <c r="AA79" i="31" s="1"/>
  <c r="Z77" i="31"/>
  <c r="Z79" i="31" s="1"/>
  <c r="V87" i="31"/>
  <c r="V88" i="31" s="1"/>
  <c r="V77" i="31"/>
  <c r="V79" i="31" s="1"/>
  <c r="U77" i="31"/>
  <c r="U79" i="31" s="1"/>
  <c r="U87" i="31"/>
  <c r="U88" i="31"/>
  <c r="T87" i="31"/>
  <c r="T88" i="31" s="1"/>
  <c r="S5" i="31"/>
  <c r="T77" i="31"/>
  <c r="T79" i="31" s="1"/>
  <c r="S87" i="31"/>
  <c r="S88" i="31"/>
  <c r="S77" i="31"/>
  <c r="S79" i="31" s="1"/>
  <c r="R87" i="31"/>
  <c r="P87" i="31"/>
  <c r="Q87" i="31"/>
  <c r="Q88" i="31" s="1"/>
  <c r="P77" i="31"/>
  <c r="P79" i="31" s="1"/>
  <c r="Q77" i="31"/>
  <c r="Q79" i="31" s="1"/>
  <c r="O88" i="31"/>
  <c r="O77" i="31"/>
  <c r="O79" i="31" s="1"/>
  <c r="N77" i="31"/>
  <c r="N79" i="31" s="1"/>
  <c r="AF236" i="31" s="1"/>
  <c r="M88" i="31"/>
  <c r="M77" i="31"/>
  <c r="M79" i="31" s="1"/>
  <c r="M7" i="31" s="1"/>
  <c r="L87" i="31"/>
  <c r="L88" i="31" s="1"/>
  <c r="L77" i="31"/>
  <c r="L79" i="31" s="1"/>
  <c r="K88" i="31"/>
  <c r="J87" i="31"/>
  <c r="J88" i="31" s="1"/>
  <c r="AH60" i="31"/>
  <c r="AI81" i="31"/>
  <c r="I87" i="31"/>
  <c r="I88" i="31" s="1"/>
  <c r="J77" i="31"/>
  <c r="J79" i="31" s="1"/>
  <c r="I77" i="31"/>
  <c r="I79" i="31" s="1"/>
  <c r="H87" i="31"/>
  <c r="H88" i="31" s="1"/>
  <c r="H77" i="31"/>
  <c r="H79" i="31" s="1"/>
  <c r="H7" i="31" s="1"/>
  <c r="G87" i="31"/>
  <c r="G88" i="31" s="1"/>
  <c r="G77" i="31"/>
  <c r="G79" i="31" s="1"/>
  <c r="AI37" i="31"/>
  <c r="AI82" i="31"/>
  <c r="AI83" i="31"/>
  <c r="E87" i="31"/>
  <c r="E77" i="31"/>
  <c r="E79" i="31" s="1"/>
  <c r="W236" i="31" s="1"/>
  <c r="F77" i="31"/>
  <c r="F79" i="31" s="1"/>
  <c r="F7" i="31" s="1"/>
  <c r="AI84" i="31"/>
  <c r="D87" i="31"/>
  <c r="D88" i="31" s="1"/>
  <c r="AH85" i="31"/>
  <c r="AI56" i="31"/>
  <c r="D77" i="31"/>
  <c r="D79" i="31" s="1"/>
  <c r="AH42" i="31"/>
  <c r="AH84" i="31"/>
  <c r="C87" i="31"/>
  <c r="AI85" i="31"/>
  <c r="C88" i="31"/>
  <c r="AH81" i="31"/>
  <c r="C77" i="31"/>
  <c r="C79" i="31" s="1"/>
  <c r="C80" i="31" s="1"/>
  <c r="H4" i="31"/>
  <c r="AG236" i="31"/>
  <c r="O7" i="31"/>
  <c r="O80" i="31"/>
  <c r="AO236" i="31"/>
  <c r="W7" i="31"/>
  <c r="AW236" i="31"/>
  <c r="AE7" i="31"/>
  <c r="AE80" i="31"/>
  <c r="AV236" i="31"/>
  <c r="AD7" i="31"/>
  <c r="AD80" i="31"/>
  <c r="P80" i="31"/>
  <c r="AH236" i="31"/>
  <c r="P7" i="31"/>
  <c r="AP236" i="31"/>
  <c r="X7" i="31"/>
  <c r="AF80" i="31"/>
  <c r="AX236" i="31"/>
  <c r="AF7" i="31"/>
  <c r="D257" i="31"/>
  <c r="F221" i="31"/>
  <c r="AI236" i="31"/>
  <c r="Q7" i="31"/>
  <c r="Q80" i="31"/>
  <c r="AQ236" i="31"/>
  <c r="Y7" i="31"/>
  <c r="R80" i="31"/>
  <c r="AJ236" i="31"/>
  <c r="R7" i="31"/>
  <c r="Z80" i="31"/>
  <c r="AR236" i="31"/>
  <c r="Z7" i="31"/>
  <c r="K80" i="31"/>
  <c r="AC236" i="31"/>
  <c r="K7" i="31"/>
  <c r="S80" i="31"/>
  <c r="AK236" i="31"/>
  <c r="S7" i="31"/>
  <c r="AA80" i="31"/>
  <c r="AS236" i="31"/>
  <c r="AA7" i="31"/>
  <c r="P88" i="31"/>
  <c r="AF88" i="31"/>
  <c r="AG79" i="31"/>
  <c r="T80" i="31"/>
  <c r="AL236" i="31"/>
  <c r="T7" i="31"/>
  <c r="AB80" i="31"/>
  <c r="AT236" i="31"/>
  <c r="AB7" i="31"/>
  <c r="AN236" i="31"/>
  <c r="V7" i="31"/>
  <c r="V80" i="31"/>
  <c r="AE236" i="31"/>
  <c r="AM236" i="31"/>
  <c r="U7" i="31"/>
  <c r="U80" i="31"/>
  <c r="AU236" i="31"/>
  <c r="AC7" i="31"/>
  <c r="AC80" i="31"/>
  <c r="E98" i="31"/>
  <c r="F216" i="31"/>
  <c r="E222" i="31"/>
  <c r="AH72" i="31"/>
  <c r="AI38" i="31"/>
  <c r="AI42" i="31"/>
  <c r="B98" i="31"/>
  <c r="D233" i="31"/>
  <c r="AH56" i="31"/>
  <c r="AI60" i="31"/>
  <c r="AI72" i="31"/>
  <c r="AH82" i="31"/>
  <c r="B88" i="31"/>
  <c r="R88" i="31"/>
  <c r="Z88" i="31"/>
  <c r="E219" i="31"/>
  <c r="F219" i="31" s="1"/>
  <c r="G219" i="31" s="1"/>
  <c r="H219" i="31" s="1"/>
  <c r="I219" i="31" s="1"/>
  <c r="J219" i="31" s="1"/>
  <c r="K219" i="31" s="1"/>
  <c r="L219" i="31" s="1"/>
  <c r="M219" i="31" s="1"/>
  <c r="N219" i="31" s="1"/>
  <c r="O219" i="31" s="1"/>
  <c r="P219" i="31" s="1"/>
  <c r="AH83" i="31"/>
  <c r="AH38" i="31"/>
  <c r="AF87" i="30"/>
  <c r="AF77" i="30"/>
  <c r="AF79" i="30" s="1"/>
  <c r="AD87" i="30"/>
  <c r="AD88" i="30" s="1"/>
  <c r="AC5" i="30"/>
  <c r="AE77" i="30"/>
  <c r="AE79" i="30" s="1"/>
  <c r="AC87" i="30"/>
  <c r="AC88" i="30" s="1"/>
  <c r="AB5" i="30"/>
  <c r="AC77" i="30"/>
  <c r="AC79" i="30" s="1"/>
  <c r="AC80" i="30" s="1"/>
  <c r="AB88" i="30"/>
  <c r="AA5" i="30"/>
  <c r="AB77" i="30"/>
  <c r="AB79" i="30" s="1"/>
  <c r="AA87" i="30"/>
  <c r="AA88" i="30" s="1"/>
  <c r="Z5" i="30"/>
  <c r="AA77" i="30"/>
  <c r="AA79" i="30" s="1"/>
  <c r="Z87" i="30"/>
  <c r="Z88" i="30" s="1"/>
  <c r="Y87" i="30"/>
  <c r="Y77" i="30"/>
  <c r="Y79" i="30" s="1"/>
  <c r="W87" i="30"/>
  <c r="W77" i="30"/>
  <c r="W79" i="30" s="1"/>
  <c r="X77" i="30"/>
  <c r="X79" i="30" s="1"/>
  <c r="V87" i="30"/>
  <c r="V88" i="30" s="1"/>
  <c r="U87" i="30"/>
  <c r="U88" i="30" s="1"/>
  <c r="U77" i="30"/>
  <c r="U79" i="30" s="1"/>
  <c r="T87" i="30"/>
  <c r="T88" i="30" s="1"/>
  <c r="S5" i="30"/>
  <c r="T77" i="30"/>
  <c r="T79" i="30" s="1"/>
  <c r="S87" i="30"/>
  <c r="S88" i="30" s="1"/>
  <c r="S77" i="30"/>
  <c r="S79" i="30" s="1"/>
  <c r="R87" i="30"/>
  <c r="R88" i="30" s="1"/>
  <c r="Q77" i="30"/>
  <c r="Q79" i="30" s="1"/>
  <c r="AH37" i="30"/>
  <c r="P77" i="30"/>
  <c r="P79" i="30" s="1"/>
  <c r="O87" i="30"/>
  <c r="O77" i="30"/>
  <c r="O79" i="30" s="1"/>
  <c r="N87" i="30"/>
  <c r="N88" i="30" s="1"/>
  <c r="M5" i="30"/>
  <c r="N77" i="30"/>
  <c r="N79" i="30" s="1"/>
  <c r="AF235" i="30" s="1"/>
  <c r="AI81" i="30"/>
  <c r="M87" i="30"/>
  <c r="M88" i="30" s="1"/>
  <c r="L5" i="30"/>
  <c r="M77" i="30"/>
  <c r="M79" i="30" s="1"/>
  <c r="AE235" i="30" s="1"/>
  <c r="L77" i="30"/>
  <c r="L79" i="30" s="1"/>
  <c r="AD235" i="30" s="1"/>
  <c r="K77" i="30"/>
  <c r="K79" i="30" s="1"/>
  <c r="AC235" i="30" s="1"/>
  <c r="J87" i="30"/>
  <c r="J88" i="30" s="1"/>
  <c r="I5" i="30"/>
  <c r="J77" i="30"/>
  <c r="J79" i="30" s="1"/>
  <c r="AB235" i="30" s="1"/>
  <c r="I77" i="30"/>
  <c r="I79" i="30" s="1"/>
  <c r="AA235" i="30" s="1"/>
  <c r="AH100" i="30"/>
  <c r="AI100" i="30" s="1"/>
  <c r="D87" i="30"/>
  <c r="D88" i="30"/>
  <c r="C5" i="30"/>
  <c r="AH83" i="30"/>
  <c r="K87" i="30"/>
  <c r="K88" i="30" s="1"/>
  <c r="J5" i="30"/>
  <c r="L87" i="30"/>
  <c r="L80" i="30" s="1"/>
  <c r="K5" i="30"/>
  <c r="AI85" i="30"/>
  <c r="H77" i="30"/>
  <c r="H79" i="30" s="1"/>
  <c r="H7" i="30" s="1"/>
  <c r="G87" i="30"/>
  <c r="G77" i="30"/>
  <c r="G79" i="30" s="1"/>
  <c r="Y235" i="30" s="1"/>
  <c r="F87" i="30"/>
  <c r="F88" i="30" s="1"/>
  <c r="E5" i="30"/>
  <c r="AI60" i="30"/>
  <c r="F77" i="30"/>
  <c r="F79" i="30" s="1"/>
  <c r="X235" i="30" s="1"/>
  <c r="AI83" i="30"/>
  <c r="AH84" i="30"/>
  <c r="E87" i="30"/>
  <c r="E88" i="30" s="1"/>
  <c r="AI82" i="30"/>
  <c r="D5" i="30"/>
  <c r="AI56" i="30"/>
  <c r="E77" i="30"/>
  <c r="E79" i="30" s="1"/>
  <c r="E7" i="30" s="1"/>
  <c r="AH42" i="30"/>
  <c r="D77" i="30"/>
  <c r="D79" i="30" s="1"/>
  <c r="D80" i="30" s="1"/>
  <c r="AI84" i="30"/>
  <c r="C87" i="30"/>
  <c r="C88" i="30" s="1"/>
  <c r="B5" i="30"/>
  <c r="C77" i="30"/>
  <c r="C79" i="30" s="1"/>
  <c r="H4" i="30"/>
  <c r="AN235" i="30"/>
  <c r="V7" i="30"/>
  <c r="V80" i="30"/>
  <c r="AV235" i="30"/>
  <c r="AD7" i="30"/>
  <c r="AD80" i="30"/>
  <c r="AG235" i="30"/>
  <c r="O7" i="30"/>
  <c r="O80" i="30"/>
  <c r="AO235" i="30"/>
  <c r="W7" i="30"/>
  <c r="W80" i="30"/>
  <c r="AW235" i="30"/>
  <c r="AE7" i="30"/>
  <c r="AE80" i="30"/>
  <c r="AG79" i="30"/>
  <c r="P80" i="30"/>
  <c r="AH235" i="30"/>
  <c r="P7" i="30"/>
  <c r="X80" i="30"/>
  <c r="AP235" i="30"/>
  <c r="X7" i="30"/>
  <c r="AF80" i="30"/>
  <c r="AX235" i="30"/>
  <c r="AF7" i="30"/>
  <c r="AG6" i="30"/>
  <c r="I80" i="30"/>
  <c r="Q80" i="30"/>
  <c r="AI235" i="30"/>
  <c r="Q7" i="30"/>
  <c r="Y80" i="30"/>
  <c r="AQ235" i="30"/>
  <c r="Y7" i="30"/>
  <c r="AG77" i="30"/>
  <c r="R80" i="30"/>
  <c r="AJ235" i="30"/>
  <c r="R7" i="30"/>
  <c r="Z80" i="30"/>
  <c r="AR235" i="30"/>
  <c r="Z7" i="30"/>
  <c r="K7" i="30"/>
  <c r="S80" i="30"/>
  <c r="AK235" i="30"/>
  <c r="S7" i="30"/>
  <c r="AA80" i="30"/>
  <c r="AS235" i="30"/>
  <c r="AA7" i="30"/>
  <c r="G88" i="30"/>
  <c r="O88" i="30"/>
  <c r="W88" i="30"/>
  <c r="AE88" i="30"/>
  <c r="L7" i="30"/>
  <c r="T80" i="30"/>
  <c r="AL235" i="30"/>
  <c r="T7" i="30"/>
  <c r="AB80" i="30"/>
  <c r="AT235" i="30"/>
  <c r="AB7" i="30"/>
  <c r="H88" i="30"/>
  <c r="P88" i="30"/>
  <c r="X88" i="30"/>
  <c r="AF88" i="30"/>
  <c r="AM235" i="30"/>
  <c r="U7" i="30"/>
  <c r="U80" i="30"/>
  <c r="I88" i="30"/>
  <c r="Q88" i="30"/>
  <c r="Y88" i="30"/>
  <c r="AI38" i="30"/>
  <c r="AI42" i="30"/>
  <c r="AH85" i="30"/>
  <c r="D232" i="30"/>
  <c r="E215" i="30"/>
  <c r="G220" i="30"/>
  <c r="AH56" i="30"/>
  <c r="AH60" i="30"/>
  <c r="AH72" i="30"/>
  <c r="AH81" i="30"/>
  <c r="AI72" i="30"/>
  <c r="AH82" i="30"/>
  <c r="AH38" i="30"/>
  <c r="H4" i="29"/>
  <c r="C80" i="29"/>
  <c r="U236" i="29"/>
  <c r="C7" i="29"/>
  <c r="K80" i="29"/>
  <c r="AC236" i="29"/>
  <c r="K7" i="29"/>
  <c r="S80" i="29"/>
  <c r="AK236" i="29"/>
  <c r="S7" i="29"/>
  <c r="AA80" i="29"/>
  <c r="AS236" i="29"/>
  <c r="AA7" i="29"/>
  <c r="J80" i="29"/>
  <c r="AB236" i="29"/>
  <c r="J7" i="29"/>
  <c r="D80" i="29"/>
  <c r="V236" i="29"/>
  <c r="D7" i="29"/>
  <c r="L80" i="29"/>
  <c r="AD236" i="29"/>
  <c r="L7" i="29"/>
  <c r="T80" i="29"/>
  <c r="AL236" i="29"/>
  <c r="T7" i="29"/>
  <c r="AB80" i="29"/>
  <c r="AT236" i="29"/>
  <c r="AB7" i="29"/>
  <c r="R80" i="29"/>
  <c r="AJ236" i="29"/>
  <c r="R7" i="29"/>
  <c r="W236" i="29"/>
  <c r="E7" i="29"/>
  <c r="E80" i="29"/>
  <c r="AE236" i="29"/>
  <c r="M7" i="29"/>
  <c r="M80" i="29"/>
  <c r="AM236" i="29"/>
  <c r="U7" i="29"/>
  <c r="U80" i="29"/>
  <c r="AU236" i="29"/>
  <c r="AC7" i="29"/>
  <c r="AC80" i="29"/>
  <c r="X236" i="29"/>
  <c r="F7" i="29"/>
  <c r="F80" i="29"/>
  <c r="AF236" i="29"/>
  <c r="N7" i="29"/>
  <c r="N80" i="29"/>
  <c r="AN236" i="29"/>
  <c r="V7" i="29"/>
  <c r="V80" i="29"/>
  <c r="AV236" i="29"/>
  <c r="AD7" i="29"/>
  <c r="AD80" i="29"/>
  <c r="F216" i="29"/>
  <c r="E98" i="29"/>
  <c r="E222" i="29"/>
  <c r="Y236" i="29"/>
  <c r="G7" i="29"/>
  <c r="C231" i="29"/>
  <c r="B231" i="29"/>
  <c r="K6" i="29" s="1"/>
  <c r="G80" i="29"/>
  <c r="AG236" i="29"/>
  <c r="O7" i="29"/>
  <c r="O80" i="29"/>
  <c r="AO236" i="29"/>
  <c r="W7" i="29"/>
  <c r="W80" i="29"/>
  <c r="AW236" i="29"/>
  <c r="AE7" i="29"/>
  <c r="AE80" i="29"/>
  <c r="C88" i="29"/>
  <c r="K88" i="29"/>
  <c r="S88" i="29"/>
  <c r="AA88" i="29"/>
  <c r="AH77" i="29"/>
  <c r="B79" i="29"/>
  <c r="AI77" i="29"/>
  <c r="H80" i="29"/>
  <c r="Z236" i="29"/>
  <c r="H7" i="29"/>
  <c r="P80" i="29"/>
  <c r="AH236" i="29"/>
  <c r="P7" i="29"/>
  <c r="X80" i="29"/>
  <c r="AP236" i="29"/>
  <c r="X7" i="29"/>
  <c r="AF80" i="29"/>
  <c r="AX236" i="29"/>
  <c r="AF7" i="29"/>
  <c r="D88" i="29"/>
  <c r="L88" i="29"/>
  <c r="T88" i="29"/>
  <c r="AB88" i="29"/>
  <c r="Z80" i="29"/>
  <c r="AR236" i="29"/>
  <c r="Z7" i="29"/>
  <c r="I80" i="29"/>
  <c r="AA236" i="29"/>
  <c r="I7" i="29"/>
  <c r="Q80" i="29"/>
  <c r="AI236" i="29"/>
  <c r="Q7" i="29"/>
  <c r="Y80" i="29"/>
  <c r="AQ236" i="29"/>
  <c r="Y7" i="29"/>
  <c r="AG77" i="29"/>
  <c r="E88" i="29"/>
  <c r="M88" i="29"/>
  <c r="U88" i="29"/>
  <c r="AC88" i="29"/>
  <c r="AI38" i="29"/>
  <c r="AI42" i="29"/>
  <c r="AH85" i="29"/>
  <c r="D233" i="29"/>
  <c r="F221" i="29"/>
  <c r="AH56" i="29"/>
  <c r="AH60" i="29"/>
  <c r="AH72" i="29"/>
  <c r="AH81" i="29"/>
  <c r="B87" i="29"/>
  <c r="B88" i="29" s="1"/>
  <c r="AI72" i="29"/>
  <c r="AH83" i="29"/>
  <c r="AH38" i="29"/>
  <c r="AF87" i="28"/>
  <c r="AF77" i="28"/>
  <c r="AF79" i="28" s="1"/>
  <c r="AE87" i="28"/>
  <c r="AD77" i="28"/>
  <c r="AD79" i="28" s="1"/>
  <c r="AC77" i="28"/>
  <c r="AC79" i="28" s="1"/>
  <c r="AB87" i="28"/>
  <c r="AB88" i="28"/>
  <c r="AB77" i="28"/>
  <c r="AB79" i="28" s="1"/>
  <c r="Z5" i="28"/>
  <c r="AA77" i="28"/>
  <c r="AA79" i="28" s="1"/>
  <c r="AA7" i="28" s="1"/>
  <c r="Z77" i="28"/>
  <c r="Z79" i="28" s="1"/>
  <c r="Y87" i="28"/>
  <c r="X77" i="28"/>
  <c r="X79" i="28" s="1"/>
  <c r="W87" i="28"/>
  <c r="W88" i="28" s="1"/>
  <c r="V77" i="28"/>
  <c r="V79" i="28" s="1"/>
  <c r="U77" i="28"/>
  <c r="U79" i="28" s="1"/>
  <c r="S87" i="28"/>
  <c r="S88" i="28"/>
  <c r="R5" i="28"/>
  <c r="T87" i="28"/>
  <c r="T88" i="28"/>
  <c r="S77" i="28"/>
  <c r="S79" i="28" s="1"/>
  <c r="S80" i="28" s="1"/>
  <c r="R77" i="28"/>
  <c r="R79" i="28" s="1"/>
  <c r="P87" i="28"/>
  <c r="P77" i="28"/>
  <c r="P79" i="28" s="1"/>
  <c r="O87" i="28"/>
  <c r="N77" i="28"/>
  <c r="N79" i="28" s="1"/>
  <c r="M77" i="28"/>
  <c r="M79" i="28" s="1"/>
  <c r="M7" i="28" s="1"/>
  <c r="L87" i="28"/>
  <c r="L88" i="28"/>
  <c r="L77" i="28"/>
  <c r="L79" i="28" s="1"/>
  <c r="L80" i="28" s="1"/>
  <c r="J5" i="28"/>
  <c r="K87" i="28"/>
  <c r="K88" i="28" s="1"/>
  <c r="T77" i="28"/>
  <c r="T79" i="28" s="1"/>
  <c r="AL235" i="28" s="1"/>
  <c r="K77" i="28"/>
  <c r="K79" i="28" s="1"/>
  <c r="AC235" i="28" s="1"/>
  <c r="J77" i="28"/>
  <c r="J79" i="28" s="1"/>
  <c r="AB235" i="28" s="1"/>
  <c r="I87" i="28"/>
  <c r="H87" i="28"/>
  <c r="H88" i="28" s="1"/>
  <c r="H77" i="28"/>
  <c r="H79" i="28" s="1"/>
  <c r="H80" i="28" s="1"/>
  <c r="G88" i="28"/>
  <c r="AI37" i="28"/>
  <c r="AI85" i="28"/>
  <c r="F77" i="28"/>
  <c r="F79" i="28" s="1"/>
  <c r="X235" i="28" s="1"/>
  <c r="AH37" i="28"/>
  <c r="E77" i="28"/>
  <c r="E79" i="28" s="1"/>
  <c r="W235" i="28" s="1"/>
  <c r="AH42" i="28"/>
  <c r="D88" i="28"/>
  <c r="AH85" i="28"/>
  <c r="D77" i="28"/>
  <c r="D79" i="28" s="1"/>
  <c r="V235" i="28" s="1"/>
  <c r="C87" i="28"/>
  <c r="C88" i="28"/>
  <c r="C77" i="28"/>
  <c r="C79" i="28" s="1"/>
  <c r="C7" i="28" s="1"/>
  <c r="B77" i="28"/>
  <c r="B79" i="28" s="1"/>
  <c r="B80" i="28" s="1"/>
  <c r="H4" i="28"/>
  <c r="AF235" i="28"/>
  <c r="N7" i="28"/>
  <c r="AX235" i="28"/>
  <c r="AF7" i="28"/>
  <c r="AF80" i="28"/>
  <c r="R7" i="28"/>
  <c r="AJ235" i="28"/>
  <c r="AH235" i="28"/>
  <c r="P7" i="28"/>
  <c r="P80" i="28"/>
  <c r="AB80" i="28"/>
  <c r="AT235" i="28"/>
  <c r="AB7" i="28"/>
  <c r="AP235" i="28"/>
  <c r="X7" i="28"/>
  <c r="X80" i="28"/>
  <c r="Z7" i="28"/>
  <c r="AR235" i="28"/>
  <c r="AM235" i="28"/>
  <c r="U7" i="28"/>
  <c r="AN235" i="28"/>
  <c r="V7" i="28"/>
  <c r="I77" i="28"/>
  <c r="I79" i="28" s="1"/>
  <c r="Q77" i="28"/>
  <c r="Q79" i="28" s="1"/>
  <c r="Y77" i="28"/>
  <c r="Y79" i="28" s="1"/>
  <c r="AG77" i="28"/>
  <c r="AI42" i="28"/>
  <c r="AH60" i="28"/>
  <c r="AG79" i="28"/>
  <c r="X88" i="28"/>
  <c r="AU235" i="28"/>
  <c r="AC7" i="28"/>
  <c r="E87" i="28"/>
  <c r="E88" i="28" s="1"/>
  <c r="M87" i="28"/>
  <c r="M88" i="28" s="1"/>
  <c r="U87" i="28"/>
  <c r="U88" i="28" s="1"/>
  <c r="AC87" i="28"/>
  <c r="AC88" i="28" s="1"/>
  <c r="AA80" i="28"/>
  <c r="AS235" i="28"/>
  <c r="AH56" i="28"/>
  <c r="AV235" i="28"/>
  <c r="AD7" i="28"/>
  <c r="F87" i="28"/>
  <c r="F88" i="28" s="1"/>
  <c r="N87" i="28"/>
  <c r="N88" i="28" s="1"/>
  <c r="V87" i="28"/>
  <c r="V88" i="28" s="1"/>
  <c r="AD87" i="28"/>
  <c r="AD88" i="28" s="1"/>
  <c r="AE88" i="28"/>
  <c r="G220" i="28"/>
  <c r="AD80" i="28"/>
  <c r="AH84" i="28"/>
  <c r="J87" i="28"/>
  <c r="J88" i="28" s="1"/>
  <c r="R87" i="28"/>
  <c r="R88" i="28" s="1"/>
  <c r="Z87" i="28"/>
  <c r="Z80" i="28" s="1"/>
  <c r="AF88" i="28"/>
  <c r="E215" i="28"/>
  <c r="AG6" i="28"/>
  <c r="AI83" i="28"/>
  <c r="O88" i="28"/>
  <c r="D80" i="28"/>
  <c r="H5" i="28"/>
  <c r="I88" i="28"/>
  <c r="P5" i="28"/>
  <c r="Q88" i="28"/>
  <c r="Y88" i="28"/>
  <c r="X5" i="28"/>
  <c r="AI82" i="28"/>
  <c r="P88" i="28"/>
  <c r="U235" i="28"/>
  <c r="S232" i="28"/>
  <c r="D232" i="28"/>
  <c r="G77" i="28"/>
  <c r="G79" i="28" s="1"/>
  <c r="O77" i="28"/>
  <c r="O79" i="28" s="1"/>
  <c r="W77" i="28"/>
  <c r="W79" i="28" s="1"/>
  <c r="AE77" i="28"/>
  <c r="AE79" i="28" s="1"/>
  <c r="AI81" i="28"/>
  <c r="AI38" i="28"/>
  <c r="AI84" i="28"/>
  <c r="AH72" i="28"/>
  <c r="AI56" i="28"/>
  <c r="AI60" i="28"/>
  <c r="AI72" i="28"/>
  <c r="AH82" i="28"/>
  <c r="AH83" i="28"/>
  <c r="AH81" i="28"/>
  <c r="AH38" i="28"/>
  <c r="AF77" i="27"/>
  <c r="AF79" i="27" s="1"/>
  <c r="AF80" i="27" s="1"/>
  <c r="AE77" i="27"/>
  <c r="AE79" i="27" s="1"/>
  <c r="AE80" i="27" s="1"/>
  <c r="AE88" i="27"/>
  <c r="N216" i="36" l="1"/>
  <c r="M222" i="36"/>
  <c r="M98" i="36"/>
  <c r="O221" i="36"/>
  <c r="M257" i="36"/>
  <c r="J257" i="35"/>
  <c r="L221" i="35"/>
  <c r="J98" i="35"/>
  <c r="J222" i="35"/>
  <c r="K216" i="35"/>
  <c r="H257" i="34"/>
  <c r="J221" i="34"/>
  <c r="J216" i="34"/>
  <c r="I98" i="34"/>
  <c r="I222" i="34"/>
  <c r="I98" i="33"/>
  <c r="I222" i="33"/>
  <c r="J216" i="33"/>
  <c r="K221" i="33"/>
  <c r="I257" i="33"/>
  <c r="K216" i="32"/>
  <c r="I217" i="32"/>
  <c r="H222" i="32"/>
  <c r="G257" i="32"/>
  <c r="I221" i="32"/>
  <c r="H98" i="32"/>
  <c r="N80" i="31"/>
  <c r="N7" i="31"/>
  <c r="M80" i="31"/>
  <c r="L80" i="31"/>
  <c r="AD236" i="31"/>
  <c r="L7" i="31"/>
  <c r="J80" i="31"/>
  <c r="J7" i="31"/>
  <c r="AB236" i="31"/>
  <c r="I80" i="31"/>
  <c r="I7" i="31"/>
  <c r="AA236" i="31"/>
  <c r="X236" i="31"/>
  <c r="H80" i="31"/>
  <c r="Z236" i="31"/>
  <c r="C231" i="31"/>
  <c r="G7" i="31"/>
  <c r="B231" i="31"/>
  <c r="Y236" i="31"/>
  <c r="G80" i="31"/>
  <c r="AH87" i="31"/>
  <c r="F80" i="31"/>
  <c r="E88" i="31"/>
  <c r="E7" i="31"/>
  <c r="E80" i="31"/>
  <c r="D80" i="31"/>
  <c r="AI87" i="31"/>
  <c r="D7" i="31"/>
  <c r="V236" i="31"/>
  <c r="AI77" i="31"/>
  <c r="AH77" i="31"/>
  <c r="C7" i="31"/>
  <c r="U236" i="31"/>
  <c r="AH88" i="31"/>
  <c r="AI88" i="31"/>
  <c r="AH79" i="31"/>
  <c r="T236" i="31"/>
  <c r="B7" i="31"/>
  <c r="AI79" i="31"/>
  <c r="E257" i="31"/>
  <c r="G221" i="31"/>
  <c r="G216" i="31"/>
  <c r="F98" i="31"/>
  <c r="F222" i="31"/>
  <c r="AC7" i="30"/>
  <c r="AU235" i="30"/>
  <c r="M80" i="30"/>
  <c r="N80" i="30"/>
  <c r="N7" i="30"/>
  <c r="M7" i="30"/>
  <c r="G7" i="30"/>
  <c r="J80" i="30"/>
  <c r="Z235" i="30"/>
  <c r="H80" i="30"/>
  <c r="G80" i="30"/>
  <c r="B230" i="30"/>
  <c r="K80" i="30"/>
  <c r="C230" i="30"/>
  <c r="J7" i="30"/>
  <c r="I7" i="30"/>
  <c r="L88" i="30"/>
  <c r="AH88" i="30" s="1"/>
  <c r="F7" i="30"/>
  <c r="F80" i="30"/>
  <c r="E80" i="30"/>
  <c r="W235" i="30"/>
  <c r="D7" i="30"/>
  <c r="V235" i="30"/>
  <c r="C80" i="30"/>
  <c r="C7" i="30"/>
  <c r="U235" i="30"/>
  <c r="AI77" i="30"/>
  <c r="AH77" i="30"/>
  <c r="AI88" i="30"/>
  <c r="F256" i="30"/>
  <c r="H220" i="30"/>
  <c r="F215" i="30"/>
  <c r="E98" i="30"/>
  <c r="E221" i="30"/>
  <c r="AI87" i="30"/>
  <c r="AH87" i="30"/>
  <c r="AI79" i="30"/>
  <c r="AH79" i="30"/>
  <c r="T235" i="30"/>
  <c r="B7" i="30"/>
  <c r="AI88" i="29"/>
  <c r="AH88" i="29"/>
  <c r="E257" i="29"/>
  <c r="G221" i="29"/>
  <c r="B80" i="29"/>
  <c r="AH80" i="29" s="1"/>
  <c r="AI79" i="29"/>
  <c r="AH79" i="29"/>
  <c r="T236" i="29"/>
  <c r="B7" i="29"/>
  <c r="A7" i="29" s="1"/>
  <c r="AI87" i="29"/>
  <c r="AH87" i="29"/>
  <c r="G216" i="29"/>
  <c r="F98" i="29"/>
  <c r="F222" i="29"/>
  <c r="Z88" i="28"/>
  <c r="V80" i="28"/>
  <c r="AK235" i="28"/>
  <c r="S7" i="28"/>
  <c r="T7" i="28"/>
  <c r="T80" i="28"/>
  <c r="R80" i="28"/>
  <c r="AE235" i="28"/>
  <c r="M80" i="28"/>
  <c r="L7" i="28"/>
  <c r="AD235" i="28"/>
  <c r="K7" i="28"/>
  <c r="K80" i="28"/>
  <c r="J80" i="28"/>
  <c r="J7" i="28"/>
  <c r="H7" i="28"/>
  <c r="Z235" i="28"/>
  <c r="F7" i="28"/>
  <c r="E7" i="28"/>
  <c r="E80" i="28"/>
  <c r="D7" i="28"/>
  <c r="C80" i="28"/>
  <c r="AW235" i="28"/>
  <c r="AE7" i="28"/>
  <c r="AE80" i="28"/>
  <c r="AI77" i="28"/>
  <c r="F80" i="28"/>
  <c r="Q80" i="28"/>
  <c r="AI235" i="28"/>
  <c r="Q7" i="28"/>
  <c r="Y80" i="28"/>
  <c r="AQ235" i="28"/>
  <c r="Y7" i="28"/>
  <c r="AH77" i="28"/>
  <c r="F256" i="28"/>
  <c r="H220" i="28"/>
  <c r="I80" i="28"/>
  <c r="AA235" i="28"/>
  <c r="I7" i="28"/>
  <c r="AI87" i="28"/>
  <c r="AH87" i="28"/>
  <c r="AG235" i="28"/>
  <c r="O7" i="28"/>
  <c r="O80" i="28"/>
  <c r="F215" i="28"/>
  <c r="E221" i="28"/>
  <c r="E98" i="28"/>
  <c r="Y235" i="28"/>
  <c r="G7" i="28"/>
  <c r="C230" i="28"/>
  <c r="B230" i="28"/>
  <c r="G80" i="28"/>
  <c r="N80" i="28"/>
  <c r="AO235" i="28"/>
  <c r="W7" i="28"/>
  <c r="W80" i="28"/>
  <c r="AC80" i="28"/>
  <c r="U80" i="28"/>
  <c r="AI79" i="28"/>
  <c r="T235" i="28"/>
  <c r="AH79" i="28"/>
  <c r="B7" i="28"/>
  <c r="N257" i="36" l="1"/>
  <c r="P221" i="36"/>
  <c r="O257" i="36" s="1"/>
  <c r="O216" i="36"/>
  <c r="N98" i="36"/>
  <c r="N222" i="36"/>
  <c r="K98" i="35"/>
  <c r="K222" i="35"/>
  <c r="L216" i="35"/>
  <c r="K257" i="35"/>
  <c r="M221" i="35"/>
  <c r="J98" i="34"/>
  <c r="J222" i="34"/>
  <c r="K216" i="34"/>
  <c r="K221" i="34"/>
  <c r="I257" i="34"/>
  <c r="J257" i="33"/>
  <c r="L221" i="33"/>
  <c r="J98" i="33"/>
  <c r="J222" i="33"/>
  <c r="K216" i="33"/>
  <c r="K98" i="33" s="1"/>
  <c r="J217" i="32"/>
  <c r="I222" i="32"/>
  <c r="L216" i="32"/>
  <c r="H257" i="32"/>
  <c r="J221" i="32"/>
  <c r="I98" i="32"/>
  <c r="K6" i="31"/>
  <c r="AH80" i="31"/>
  <c r="A7" i="31"/>
  <c r="H216" i="31"/>
  <c r="G98" i="31"/>
  <c r="G222" i="31"/>
  <c r="F257" i="31"/>
  <c r="H221" i="31"/>
  <c r="K6" i="30"/>
  <c r="AH80" i="30"/>
  <c r="A7" i="30"/>
  <c r="G215" i="30"/>
  <c r="F98" i="30"/>
  <c r="F221" i="30"/>
  <c r="G256" i="30"/>
  <c r="I220" i="30"/>
  <c r="H216" i="29"/>
  <c r="G98" i="29"/>
  <c r="G222" i="29"/>
  <c r="F257" i="29"/>
  <c r="H221" i="29"/>
  <c r="K6" i="28"/>
  <c r="AH80" i="28"/>
  <c r="G215" i="28"/>
  <c r="F98" i="28"/>
  <c r="F221" i="28"/>
  <c r="G256" i="28"/>
  <c r="I220" i="28"/>
  <c r="A7" i="28"/>
  <c r="AH88" i="28"/>
  <c r="AI88" i="28"/>
  <c r="P216" i="36" l="1"/>
  <c r="O98" i="36"/>
  <c r="O222" i="36"/>
  <c r="L257" i="35"/>
  <c r="N221" i="35"/>
  <c r="L222" i="35"/>
  <c r="M216" i="35"/>
  <c r="L98" i="35"/>
  <c r="L221" i="34"/>
  <c r="J257" i="34"/>
  <c r="K98" i="34"/>
  <c r="K222" i="34"/>
  <c r="L216" i="34"/>
  <c r="K222" i="33"/>
  <c r="L216" i="33"/>
  <c r="K257" i="33"/>
  <c r="M221" i="33"/>
  <c r="K221" i="32"/>
  <c r="I257" i="32"/>
  <c r="J98" i="32"/>
  <c r="M216" i="32"/>
  <c r="K217" i="32"/>
  <c r="J222" i="32"/>
  <c r="G257" i="31"/>
  <c r="I221" i="31"/>
  <c r="I216" i="31"/>
  <c r="H98" i="31"/>
  <c r="H222" i="31"/>
  <c r="H215" i="30"/>
  <c r="G98" i="30"/>
  <c r="G221" i="30"/>
  <c r="H256" i="30"/>
  <c r="J220" i="30"/>
  <c r="I216" i="29"/>
  <c r="H98" i="29"/>
  <c r="H222" i="29"/>
  <c r="G257" i="29"/>
  <c r="I221" i="29"/>
  <c r="H256" i="28"/>
  <c r="J220" i="28"/>
  <c r="H215" i="28"/>
  <c r="G98" i="28"/>
  <c r="G221" i="28"/>
  <c r="Y99" i="27"/>
  <c r="Y37" i="27"/>
  <c r="X37" i="27"/>
  <c r="W99" i="27"/>
  <c r="W37" i="27"/>
  <c r="V99" i="27"/>
  <c r="V37" i="27"/>
  <c r="U37" i="27"/>
  <c r="T37" i="27"/>
  <c r="S37" i="27"/>
  <c r="R37" i="27"/>
  <c r="Q72" i="27"/>
  <c r="Q37" i="27"/>
  <c r="P37" i="27"/>
  <c r="P98" i="36" l="1"/>
  <c r="P222" i="36"/>
  <c r="N216" i="35"/>
  <c r="M98" i="35"/>
  <c r="M222" i="35"/>
  <c r="M257" i="35"/>
  <c r="O221" i="35"/>
  <c r="L222" i="34"/>
  <c r="L98" i="34"/>
  <c r="M216" i="34"/>
  <c r="K257" i="34"/>
  <c r="M221" i="34"/>
  <c r="N221" i="33"/>
  <c r="L257" i="33"/>
  <c r="L222" i="33"/>
  <c r="M216" i="33"/>
  <c r="L98" i="33"/>
  <c r="N216" i="32"/>
  <c r="L217" i="32"/>
  <c r="K222" i="32"/>
  <c r="J257" i="32"/>
  <c r="L221" i="32"/>
  <c r="K98" i="32"/>
  <c r="I98" i="31"/>
  <c r="I222" i="31"/>
  <c r="J216" i="31"/>
  <c r="H257" i="31"/>
  <c r="J221" i="31"/>
  <c r="K220" i="30"/>
  <c r="I256" i="30"/>
  <c r="I215" i="30"/>
  <c r="H98" i="30"/>
  <c r="H221" i="30"/>
  <c r="H257" i="29"/>
  <c r="J221" i="29"/>
  <c r="I98" i="29"/>
  <c r="I222" i="29"/>
  <c r="J216" i="29"/>
  <c r="I215" i="28"/>
  <c r="H98" i="28"/>
  <c r="H221" i="28"/>
  <c r="K220" i="28"/>
  <c r="I256" i="28"/>
  <c r="AI98" i="36" l="1"/>
  <c r="AH98" i="36"/>
  <c r="N257" i="35"/>
  <c r="P221" i="35"/>
  <c r="O257" i="35" s="1"/>
  <c r="O216" i="35"/>
  <c r="N98" i="35"/>
  <c r="N222" i="35"/>
  <c r="L257" i="34"/>
  <c r="N221" i="34"/>
  <c r="M222" i="34"/>
  <c r="N216" i="34"/>
  <c r="M98" i="34"/>
  <c r="N216" i="33"/>
  <c r="M222" i="33"/>
  <c r="M98" i="33"/>
  <c r="M257" i="33"/>
  <c r="O221" i="33"/>
  <c r="K257" i="32"/>
  <c r="M221" i="32"/>
  <c r="L98" i="32"/>
  <c r="M217" i="32"/>
  <c r="L222" i="32"/>
  <c r="O216" i="32"/>
  <c r="K221" i="31"/>
  <c r="I257" i="31"/>
  <c r="J222" i="31"/>
  <c r="K216" i="31"/>
  <c r="J98" i="31"/>
  <c r="I98" i="30"/>
  <c r="I221" i="30"/>
  <c r="J215" i="30"/>
  <c r="J256" i="30"/>
  <c r="L220" i="30"/>
  <c r="J222" i="29"/>
  <c r="K216" i="29"/>
  <c r="J98" i="29"/>
  <c r="K221" i="29"/>
  <c r="I257" i="29"/>
  <c r="I98" i="28"/>
  <c r="I221" i="28"/>
  <c r="J215" i="28"/>
  <c r="J256" i="28"/>
  <c r="L220" i="28"/>
  <c r="P216" i="35" l="1"/>
  <c r="O98" i="35"/>
  <c r="O222" i="35"/>
  <c r="O216" i="34"/>
  <c r="N98" i="34"/>
  <c r="N222" i="34"/>
  <c r="M257" i="34"/>
  <c r="O221" i="34"/>
  <c r="N257" i="33"/>
  <c r="P221" i="33"/>
  <c r="O257" i="33" s="1"/>
  <c r="O216" i="33"/>
  <c r="N98" i="33"/>
  <c r="N222" i="33"/>
  <c r="N217" i="32"/>
  <c r="M222" i="32"/>
  <c r="L257" i="32"/>
  <c r="N221" i="32"/>
  <c r="M98" i="32"/>
  <c r="P216" i="32"/>
  <c r="K222" i="31"/>
  <c r="L216" i="31"/>
  <c r="K98" i="31"/>
  <c r="J257" i="31"/>
  <c r="L221" i="31"/>
  <c r="J221" i="30"/>
  <c r="K215" i="30"/>
  <c r="J98" i="30"/>
  <c r="K256" i="30"/>
  <c r="M220" i="30"/>
  <c r="J257" i="29"/>
  <c r="L221" i="29"/>
  <c r="K222" i="29"/>
  <c r="L216" i="29"/>
  <c r="K98" i="29"/>
  <c r="M220" i="28"/>
  <c r="K256" i="28"/>
  <c r="J221" i="28"/>
  <c r="K215" i="28"/>
  <c r="J98" i="28"/>
  <c r="P98" i="35" l="1"/>
  <c r="P222" i="35"/>
  <c r="N257" i="34"/>
  <c r="P221" i="34"/>
  <c r="O257" i="34" s="1"/>
  <c r="P216" i="34"/>
  <c r="O98" i="34"/>
  <c r="O222" i="34"/>
  <c r="P216" i="33"/>
  <c r="O222" i="33"/>
  <c r="O98" i="33"/>
  <c r="M257" i="32"/>
  <c r="O221" i="32"/>
  <c r="N98" i="32"/>
  <c r="O217" i="32"/>
  <c r="N222" i="32"/>
  <c r="K257" i="31"/>
  <c r="M221" i="31"/>
  <c r="L222" i="31"/>
  <c r="M216" i="31"/>
  <c r="L98" i="31"/>
  <c r="L256" i="30"/>
  <c r="N220" i="30"/>
  <c r="K221" i="30"/>
  <c r="L215" i="30"/>
  <c r="K98" i="30"/>
  <c r="K257" i="29"/>
  <c r="M221" i="29"/>
  <c r="L222" i="29"/>
  <c r="M216" i="29"/>
  <c r="L98" i="29"/>
  <c r="K221" i="28"/>
  <c r="K98" i="28"/>
  <c r="L215" i="28"/>
  <c r="L256" i="28"/>
  <c r="N220" i="28"/>
  <c r="AI98" i="35" l="1"/>
  <c r="AH98" i="35"/>
  <c r="P98" i="34"/>
  <c r="P222" i="34"/>
  <c r="P98" i="33"/>
  <c r="P222" i="33"/>
  <c r="P217" i="32"/>
  <c r="O222" i="32"/>
  <c r="N257" i="32"/>
  <c r="P221" i="32"/>
  <c r="O98" i="32"/>
  <c r="N216" i="31"/>
  <c r="M98" i="31"/>
  <c r="M222" i="31"/>
  <c r="L257" i="31"/>
  <c r="N221" i="31"/>
  <c r="L221" i="30"/>
  <c r="M215" i="30"/>
  <c r="L98" i="30"/>
  <c r="M256" i="30"/>
  <c r="O220" i="30"/>
  <c r="N216" i="29"/>
  <c r="M98" i="29"/>
  <c r="M222" i="29"/>
  <c r="L257" i="29"/>
  <c r="N221" i="29"/>
  <c r="L221" i="28"/>
  <c r="M215" i="28"/>
  <c r="L98" i="28"/>
  <c r="M256" i="28"/>
  <c r="O220" i="28"/>
  <c r="AH98" i="34" l="1"/>
  <c r="AI98" i="34"/>
  <c r="AI98" i="33"/>
  <c r="AH98" i="33"/>
  <c r="O257" i="32"/>
  <c r="P98" i="32"/>
  <c r="P222" i="32"/>
  <c r="M257" i="31"/>
  <c r="O221" i="31"/>
  <c r="O216" i="31"/>
  <c r="N222" i="31"/>
  <c r="N98" i="31"/>
  <c r="N215" i="30"/>
  <c r="M98" i="30"/>
  <c r="M221" i="30"/>
  <c r="N256" i="30"/>
  <c r="P220" i="30"/>
  <c r="O256" i="30" s="1"/>
  <c r="M257" i="29"/>
  <c r="O221" i="29"/>
  <c r="O216" i="29"/>
  <c r="N98" i="29"/>
  <c r="N222" i="29"/>
  <c r="P220" i="28"/>
  <c r="O256" i="28" s="1"/>
  <c r="N256" i="28"/>
  <c r="N215" i="28"/>
  <c r="M221" i="28"/>
  <c r="M98" i="28"/>
  <c r="AI98" i="32" l="1"/>
  <c r="AH98" i="32"/>
  <c r="P221" i="31"/>
  <c r="O257" i="31" s="1"/>
  <c r="N257" i="31"/>
  <c r="P216" i="31"/>
  <c r="O222" i="31"/>
  <c r="O215" i="30"/>
  <c r="N98" i="30"/>
  <c r="N221" i="30"/>
  <c r="P216" i="29"/>
  <c r="O98" i="29"/>
  <c r="O222" i="29"/>
  <c r="N257" i="29"/>
  <c r="P221" i="29"/>
  <c r="O257" i="29" s="1"/>
  <c r="N98" i="28"/>
  <c r="O215" i="28"/>
  <c r="N221" i="28"/>
  <c r="P98" i="31" l="1"/>
  <c r="P222" i="31"/>
  <c r="P215" i="30"/>
  <c r="O98" i="30"/>
  <c r="O221" i="30"/>
  <c r="P98" i="29"/>
  <c r="P222" i="29"/>
  <c r="P215" i="28"/>
  <c r="O98" i="28"/>
  <c r="O221" i="28"/>
  <c r="AI98" i="31" l="1"/>
  <c r="AH98" i="31"/>
  <c r="P98" i="30"/>
  <c r="P221" i="30"/>
  <c r="AH98" i="29"/>
  <c r="AI98" i="29"/>
  <c r="P98" i="28"/>
  <c r="P221" i="28"/>
  <c r="AI98" i="30" l="1"/>
  <c r="AH98" i="30"/>
  <c r="AI98" i="28"/>
  <c r="AH98" i="28"/>
  <c r="N37" i="27" l="1"/>
  <c r="L37" i="27" l="1"/>
  <c r="K37" i="27"/>
  <c r="J37" i="27"/>
  <c r="G37" i="27"/>
  <c r="F37" i="27"/>
  <c r="E37" i="27"/>
  <c r="D100" i="27" l="1"/>
  <c r="D99" i="27"/>
  <c r="D98" i="27" s="1"/>
  <c r="D37" i="27"/>
  <c r="AI37" i="27"/>
  <c r="C100" i="27"/>
  <c r="C98" i="27" s="1"/>
  <c r="C99" i="27"/>
  <c r="AH99" i="27" s="1"/>
  <c r="AI99" i="27" s="1"/>
  <c r="C37" i="27"/>
  <c r="B37" i="27"/>
  <c r="B60" i="27"/>
  <c r="B56" i="27"/>
  <c r="B42" i="27"/>
  <c r="B38" i="27"/>
  <c r="B100" i="27"/>
  <c r="B99" i="27"/>
  <c r="B98" i="27" s="1"/>
  <c r="AF260" i="27"/>
  <c r="AE260" i="27"/>
  <c r="AD260" i="27"/>
  <c r="AC260" i="27"/>
  <c r="AB260" i="27"/>
  <c r="AA260" i="27"/>
  <c r="Z260" i="27"/>
  <c r="Y260" i="27"/>
  <c r="X260" i="27"/>
  <c r="W260" i="27"/>
  <c r="V260" i="27"/>
  <c r="U260" i="27"/>
  <c r="T260" i="27"/>
  <c r="S260" i="27"/>
  <c r="R260" i="27"/>
  <c r="Q260" i="27"/>
  <c r="P260" i="27"/>
  <c r="O260" i="27"/>
  <c r="N260" i="27"/>
  <c r="M260" i="27"/>
  <c r="L260" i="27"/>
  <c r="K260" i="27"/>
  <c r="J260" i="27"/>
  <c r="I260" i="27"/>
  <c r="H260" i="27"/>
  <c r="G260" i="27"/>
  <c r="F260" i="27"/>
  <c r="E260" i="27"/>
  <c r="D260" i="27"/>
  <c r="C260" i="27"/>
  <c r="B260" i="27"/>
  <c r="A260" i="27"/>
  <c r="AF259" i="27"/>
  <c r="AE259" i="27"/>
  <c r="AD259" i="27"/>
  <c r="AC259" i="27"/>
  <c r="AB259" i="27"/>
  <c r="AA259" i="27"/>
  <c r="Z259" i="27"/>
  <c r="Y259" i="27"/>
  <c r="X259" i="27"/>
  <c r="W259" i="27"/>
  <c r="V259" i="27"/>
  <c r="U259" i="27"/>
  <c r="T259" i="27"/>
  <c r="S259" i="27"/>
  <c r="R259" i="27"/>
  <c r="Q259" i="27"/>
  <c r="P259" i="27"/>
  <c r="O259" i="27"/>
  <c r="N259" i="27"/>
  <c r="M259" i="27"/>
  <c r="L259" i="27"/>
  <c r="K259" i="27"/>
  <c r="J259" i="27"/>
  <c r="I259" i="27"/>
  <c r="H259" i="27"/>
  <c r="G259" i="27"/>
  <c r="F259" i="27"/>
  <c r="E259" i="27"/>
  <c r="D259" i="27"/>
  <c r="C259" i="27"/>
  <c r="B259" i="27"/>
  <c r="A259" i="27"/>
  <c r="AF258" i="27"/>
  <c r="AE258" i="27"/>
  <c r="AD258" i="27"/>
  <c r="AC258" i="27"/>
  <c r="AB258" i="27"/>
  <c r="AA258" i="27"/>
  <c r="Z258" i="27"/>
  <c r="Y258" i="27"/>
  <c r="X258" i="27"/>
  <c r="W258" i="27"/>
  <c r="V258" i="27"/>
  <c r="U258" i="27"/>
  <c r="T258" i="27"/>
  <c r="S258" i="27"/>
  <c r="R258" i="27"/>
  <c r="Q258" i="27"/>
  <c r="P258" i="27"/>
  <c r="O258" i="27"/>
  <c r="N258" i="27"/>
  <c r="M258" i="27"/>
  <c r="L258" i="27"/>
  <c r="K258" i="27"/>
  <c r="J258" i="27"/>
  <c r="I258" i="27"/>
  <c r="H258" i="27"/>
  <c r="G258" i="27"/>
  <c r="F258" i="27"/>
  <c r="E258" i="27"/>
  <c r="D258" i="27"/>
  <c r="C258" i="27"/>
  <c r="B258" i="27"/>
  <c r="A258" i="27"/>
  <c r="AF257" i="27"/>
  <c r="AE257" i="27"/>
  <c r="AD257" i="27"/>
  <c r="AC257" i="27"/>
  <c r="AB257" i="27"/>
  <c r="AA257" i="27"/>
  <c r="Z257" i="27"/>
  <c r="Y257" i="27"/>
  <c r="X257" i="27"/>
  <c r="W257" i="27"/>
  <c r="V257" i="27"/>
  <c r="U257" i="27"/>
  <c r="T257" i="27"/>
  <c r="S257" i="27"/>
  <c r="R257" i="27"/>
  <c r="Q257" i="27"/>
  <c r="P257" i="27"/>
  <c r="O257" i="27"/>
  <c r="N257" i="27"/>
  <c r="M257" i="27"/>
  <c r="L257" i="27"/>
  <c r="K257" i="27"/>
  <c r="J257" i="27"/>
  <c r="I257" i="27"/>
  <c r="H257" i="27"/>
  <c r="G257" i="27"/>
  <c r="F257" i="27"/>
  <c r="E257" i="27"/>
  <c r="D257" i="27"/>
  <c r="C257" i="27"/>
  <c r="B257" i="27"/>
  <c r="A257" i="27"/>
  <c r="AE256" i="27"/>
  <c r="AD256" i="27"/>
  <c r="AC256" i="27"/>
  <c r="AB256" i="27"/>
  <c r="AA256" i="27"/>
  <c r="Z256" i="27"/>
  <c r="Y256" i="27"/>
  <c r="X256" i="27"/>
  <c r="W256" i="27"/>
  <c r="V256" i="27"/>
  <c r="U256" i="27"/>
  <c r="T256" i="27"/>
  <c r="S256" i="27"/>
  <c r="R256" i="27"/>
  <c r="Q256" i="27"/>
  <c r="P256" i="27"/>
  <c r="B256" i="27"/>
  <c r="S231" i="27"/>
  <c r="AG221" i="27"/>
  <c r="AF221" i="27"/>
  <c r="AE221" i="27"/>
  <c r="AD221" i="27"/>
  <c r="AC221" i="27"/>
  <c r="AB221" i="27"/>
  <c r="AA221" i="27"/>
  <c r="Z221" i="27"/>
  <c r="Y221" i="27"/>
  <c r="X221" i="27"/>
  <c r="W221" i="27"/>
  <c r="V221" i="27"/>
  <c r="U221" i="27"/>
  <c r="T221" i="27"/>
  <c r="S221" i="27"/>
  <c r="R221" i="27"/>
  <c r="Q221" i="27"/>
  <c r="D221" i="27"/>
  <c r="C221" i="27"/>
  <c r="E220" i="27"/>
  <c r="D256" i="27" s="1"/>
  <c r="D220" i="27"/>
  <c r="C256" i="27" s="1"/>
  <c r="B220" i="27"/>
  <c r="AF256" i="27" s="1"/>
  <c r="E219" i="27"/>
  <c r="F219" i="27" s="1"/>
  <c r="G219" i="27" s="1"/>
  <c r="H219" i="27" s="1"/>
  <c r="I219" i="27" s="1"/>
  <c r="J219" i="27" s="1"/>
  <c r="K219" i="27" s="1"/>
  <c r="L219" i="27" s="1"/>
  <c r="M219" i="27" s="1"/>
  <c r="N219" i="27" s="1"/>
  <c r="O219" i="27" s="1"/>
  <c r="P219" i="27" s="1"/>
  <c r="D219" i="27"/>
  <c r="B219" i="27"/>
  <c r="E218" i="27"/>
  <c r="F218" i="27" s="1"/>
  <c r="G218" i="27" s="1"/>
  <c r="H218" i="27" s="1"/>
  <c r="I218" i="27" s="1"/>
  <c r="J218" i="27" s="1"/>
  <c r="K218" i="27" s="1"/>
  <c r="L218" i="27" s="1"/>
  <c r="M218" i="27" s="1"/>
  <c r="N218" i="27" s="1"/>
  <c r="O218" i="27" s="1"/>
  <c r="P218" i="27" s="1"/>
  <c r="D218" i="27"/>
  <c r="B218" i="27"/>
  <c r="E217" i="27"/>
  <c r="F217" i="27" s="1"/>
  <c r="G217" i="27" s="1"/>
  <c r="H217" i="27" s="1"/>
  <c r="I217" i="27" s="1"/>
  <c r="J217" i="27" s="1"/>
  <c r="K217" i="27" s="1"/>
  <c r="L217" i="27" s="1"/>
  <c r="M217" i="27" s="1"/>
  <c r="N217" i="27" s="1"/>
  <c r="O217" i="27" s="1"/>
  <c r="P217" i="27" s="1"/>
  <c r="D217" i="27"/>
  <c r="B217" i="27"/>
  <c r="E216" i="27"/>
  <c r="F216" i="27" s="1"/>
  <c r="G216" i="27" s="1"/>
  <c r="H216" i="27" s="1"/>
  <c r="I216" i="27" s="1"/>
  <c r="J216" i="27" s="1"/>
  <c r="K216" i="27" s="1"/>
  <c r="L216" i="27" s="1"/>
  <c r="M216" i="27" s="1"/>
  <c r="N216" i="27" s="1"/>
  <c r="O216" i="27" s="1"/>
  <c r="P216" i="27" s="1"/>
  <c r="D216" i="27"/>
  <c r="B216" i="27"/>
  <c r="E215" i="27"/>
  <c r="F215" i="27" s="1"/>
  <c r="D215" i="27"/>
  <c r="B215" i="27"/>
  <c r="B221" i="27" s="1"/>
  <c r="AG213" i="27"/>
  <c r="AF213" i="27"/>
  <c r="AE213" i="27"/>
  <c r="AD213" i="27"/>
  <c r="AC213" i="27"/>
  <c r="AB213" i="27"/>
  <c r="AA213" i="27"/>
  <c r="Z213" i="27"/>
  <c r="Y213" i="27"/>
  <c r="X213" i="27"/>
  <c r="W213" i="27"/>
  <c r="V213" i="27"/>
  <c r="U213" i="27"/>
  <c r="T213" i="27"/>
  <c r="S213" i="27"/>
  <c r="R213" i="27"/>
  <c r="Q213" i="27"/>
  <c r="P213" i="27"/>
  <c r="O213" i="27"/>
  <c r="N213" i="27"/>
  <c r="M213" i="27"/>
  <c r="L213" i="27"/>
  <c r="K213" i="27"/>
  <c r="J213" i="27"/>
  <c r="I213" i="27"/>
  <c r="H213" i="27"/>
  <c r="G213" i="27"/>
  <c r="F213" i="27"/>
  <c r="E213" i="27"/>
  <c r="D213" i="27"/>
  <c r="C213" i="27"/>
  <c r="B213" i="27"/>
  <c r="AH106" i="27"/>
  <c r="AI106" i="27" s="1"/>
  <c r="AH105" i="27"/>
  <c r="AI105" i="27" s="1"/>
  <c r="AH104" i="27"/>
  <c r="AI104" i="27" s="1"/>
  <c r="AH103" i="27"/>
  <c r="AI103" i="27" s="1"/>
  <c r="AH102" i="27"/>
  <c r="AI102" i="27" s="1"/>
  <c r="AH101" i="27"/>
  <c r="AI101" i="27" s="1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E98" i="27"/>
  <c r="AI97" i="27"/>
  <c r="AH97" i="27"/>
  <c r="AI96" i="27"/>
  <c r="AH96" i="27"/>
  <c r="AI95" i="27"/>
  <c r="AH95" i="27"/>
  <c r="AI94" i="27"/>
  <c r="AH94" i="27"/>
  <c r="AI93" i="27"/>
  <c r="AH93" i="27"/>
  <c r="AI92" i="27"/>
  <c r="AH92" i="27"/>
  <c r="AI91" i="27"/>
  <c r="AH91" i="27"/>
  <c r="AI90" i="27"/>
  <c r="AH90" i="27"/>
  <c r="AI89" i="27"/>
  <c r="AH89" i="27"/>
  <c r="AI86" i="27"/>
  <c r="AH86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AD81" i="27"/>
  <c r="AC81" i="27"/>
  <c r="AC87" i="27" s="1"/>
  <c r="AB81" i="27"/>
  <c r="AA81" i="27"/>
  <c r="Z81" i="27"/>
  <c r="Y81" i="27"/>
  <c r="X81" i="27"/>
  <c r="W81" i="27"/>
  <c r="V81" i="27"/>
  <c r="U81" i="27"/>
  <c r="U87" i="27" s="1"/>
  <c r="T81" i="27"/>
  <c r="S81" i="27"/>
  <c r="R81" i="27"/>
  <c r="Q81" i="27"/>
  <c r="P81" i="27"/>
  <c r="O81" i="27"/>
  <c r="N81" i="27"/>
  <c r="M81" i="27"/>
  <c r="M87" i="27" s="1"/>
  <c r="L81" i="27"/>
  <c r="K81" i="27"/>
  <c r="J81" i="27"/>
  <c r="I81" i="27"/>
  <c r="H81" i="27"/>
  <c r="G81" i="27"/>
  <c r="F81" i="27"/>
  <c r="F87" i="27" s="1"/>
  <c r="E81" i="27"/>
  <c r="E87" i="27" s="1"/>
  <c r="D81" i="27"/>
  <c r="D87" i="27" s="1"/>
  <c r="C81" i="27"/>
  <c r="B81" i="27"/>
  <c r="AI78" i="27"/>
  <c r="AH78" i="27"/>
  <c r="AI76" i="27"/>
  <c r="AH76" i="27"/>
  <c r="AG76" i="27"/>
  <c r="AG79" i="27" s="1"/>
  <c r="AI75" i="27"/>
  <c r="AH75" i="27"/>
  <c r="AI74" i="27"/>
  <c r="AH74" i="27"/>
  <c r="AI73" i="27"/>
  <c r="AH73" i="27"/>
  <c r="AG72" i="27"/>
  <c r="AD72" i="27"/>
  <c r="AC5" i="27" s="1"/>
  <c r="AC72" i="27"/>
  <c r="AB5" i="27" s="1"/>
  <c r="AB72" i="27"/>
  <c r="AA5" i="27" s="1"/>
  <c r="AA72" i="27"/>
  <c r="Z72" i="27"/>
  <c r="Y72" i="27"/>
  <c r="X72" i="27"/>
  <c r="W72" i="27"/>
  <c r="V5" i="27" s="1"/>
  <c r="V72" i="27"/>
  <c r="U5" i="27" s="1"/>
  <c r="U72" i="27"/>
  <c r="T5" i="27" s="1"/>
  <c r="T72" i="27"/>
  <c r="S72" i="27"/>
  <c r="R72" i="27"/>
  <c r="P72" i="27"/>
  <c r="O72" i="27"/>
  <c r="N5" i="27" s="1"/>
  <c r="N72" i="27"/>
  <c r="M5" i="27" s="1"/>
  <c r="M72" i="27"/>
  <c r="L5" i="27" s="1"/>
  <c r="L72" i="27"/>
  <c r="K72" i="27"/>
  <c r="J5" i="27" s="1"/>
  <c r="J72" i="27"/>
  <c r="I72" i="27"/>
  <c r="H72" i="27"/>
  <c r="G5" i="27" s="1"/>
  <c r="G72" i="27"/>
  <c r="F72" i="27"/>
  <c r="E72" i="27"/>
  <c r="D5" i="27" s="1"/>
  <c r="D72" i="27"/>
  <c r="C5" i="27" s="1"/>
  <c r="C72" i="27"/>
  <c r="B5" i="27" s="1"/>
  <c r="B72" i="27"/>
  <c r="AF5" i="27" s="1"/>
  <c r="AI71" i="27"/>
  <c r="AH71" i="27"/>
  <c r="AI70" i="27"/>
  <c r="AH70" i="27"/>
  <c r="AI69" i="27"/>
  <c r="AH69" i="27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G60" i="27"/>
  <c r="AD60" i="27"/>
  <c r="AC60" i="27"/>
  <c r="AB60" i="27"/>
  <c r="AA60" i="27"/>
  <c r="Z60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AI59" i="27"/>
  <c r="AH59" i="27"/>
  <c r="AI58" i="27"/>
  <c r="AH58" i="27"/>
  <c r="AI57" i="27"/>
  <c r="AH57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AI55" i="27"/>
  <c r="AH55" i="27"/>
  <c r="AG55" i="27"/>
  <c r="AG56" i="27" s="1"/>
  <c r="AG3" i="27" s="1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G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AI41" i="27"/>
  <c r="AH41" i="27"/>
  <c r="AI40" i="27"/>
  <c r="AH40" i="27"/>
  <c r="AI39" i="27"/>
  <c r="AH39" i="27"/>
  <c r="AG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E5" i="27"/>
  <c r="AD5" i="27"/>
  <c r="Z5" i="27"/>
  <c r="S5" i="27"/>
  <c r="R5" i="27"/>
  <c r="K5" i="27"/>
  <c r="AG4" i="27"/>
  <c r="K4" i="27"/>
  <c r="B4" i="27"/>
  <c r="S232" i="27" s="1"/>
  <c r="AG2" i="27"/>
  <c r="AG6" i="27" s="1"/>
  <c r="AF100" i="25"/>
  <c r="AF99" i="25"/>
  <c r="AF37" i="25"/>
  <c r="AF38" i="25"/>
  <c r="AF42" i="25"/>
  <c r="AF56" i="25"/>
  <c r="AF60" i="25"/>
  <c r="AE100" i="25"/>
  <c r="AE99" i="25"/>
  <c r="AE37" i="25"/>
  <c r="AE38" i="25"/>
  <c r="AD100" i="25"/>
  <c r="AD99" i="25"/>
  <c r="AD37" i="25"/>
  <c r="AC37" i="25"/>
  <c r="AB100" i="25"/>
  <c r="AB99" i="25"/>
  <c r="AB37" i="25"/>
  <c r="AA100" i="25"/>
  <c r="Z100" i="25"/>
  <c r="Z37" i="25"/>
  <c r="Y100" i="25"/>
  <c r="Y37" i="25"/>
  <c r="X100" i="25"/>
  <c r="X37" i="25"/>
  <c r="W100" i="25"/>
  <c r="W37" i="25"/>
  <c r="V100" i="25"/>
  <c r="V37" i="25"/>
  <c r="U100" i="25"/>
  <c r="U37" i="25"/>
  <c r="T100" i="25"/>
  <c r="T37" i="25"/>
  <c r="S100" i="25"/>
  <c r="R100" i="25"/>
  <c r="R99" i="25"/>
  <c r="E4" i="27"/>
  <c r="AD87" i="27" l="1"/>
  <c r="AD88" i="27"/>
  <c r="AD77" i="27"/>
  <c r="AD79" i="27" s="1"/>
  <c r="AD80" i="27" s="1"/>
  <c r="AC77" i="27"/>
  <c r="AC79" i="27" s="1"/>
  <c r="AB87" i="27"/>
  <c r="AB77" i="27"/>
  <c r="AB79" i="27" s="1"/>
  <c r="AA87" i="27"/>
  <c r="AA77" i="27"/>
  <c r="AA79" i="27" s="1"/>
  <c r="AA7" i="27" s="1"/>
  <c r="Z87" i="27"/>
  <c r="Z88" i="27" s="1"/>
  <c r="Y5" i="27"/>
  <c r="Z77" i="27"/>
  <c r="Z79" i="27" s="1"/>
  <c r="Y87" i="27"/>
  <c r="Y88" i="27" s="1"/>
  <c r="X5" i="27"/>
  <c r="Y77" i="27"/>
  <c r="Y79" i="27" s="1"/>
  <c r="Y80" i="27" s="1"/>
  <c r="X87" i="27"/>
  <c r="X88" i="27" s="1"/>
  <c r="W5" i="27"/>
  <c r="X77" i="27"/>
  <c r="X79" i="27" s="1"/>
  <c r="X7" i="27" s="1"/>
  <c r="W87" i="27"/>
  <c r="W88" i="27"/>
  <c r="W77" i="27"/>
  <c r="W79" i="27" s="1"/>
  <c r="AO235" i="27" s="1"/>
  <c r="V87" i="27"/>
  <c r="V88" i="27"/>
  <c r="V77" i="27"/>
  <c r="V79" i="27" s="1"/>
  <c r="AN235" i="27" s="1"/>
  <c r="U77" i="27"/>
  <c r="U79" i="27" s="1"/>
  <c r="AM235" i="27" s="1"/>
  <c r="T87" i="27"/>
  <c r="T77" i="27"/>
  <c r="T79" i="27" s="1"/>
  <c r="AL235" i="27" s="1"/>
  <c r="S87" i="27"/>
  <c r="S88" i="27" s="1"/>
  <c r="S77" i="27"/>
  <c r="S79" i="27" s="1"/>
  <c r="AK235" i="27" s="1"/>
  <c r="R87" i="27"/>
  <c r="R88" i="27" s="1"/>
  <c r="Q5" i="27"/>
  <c r="R77" i="27"/>
  <c r="R79" i="27" s="1"/>
  <c r="Q77" i="27"/>
  <c r="Q79" i="27" s="1"/>
  <c r="Q80" i="27" s="1"/>
  <c r="Q87" i="27"/>
  <c r="Q88" i="27" s="1"/>
  <c r="P5" i="27"/>
  <c r="P87" i="27"/>
  <c r="P88" i="27"/>
  <c r="O5" i="27"/>
  <c r="P77" i="27"/>
  <c r="P79" i="27" s="1"/>
  <c r="P80" i="27" s="1"/>
  <c r="O87" i="27"/>
  <c r="O88" i="27"/>
  <c r="O77" i="27"/>
  <c r="O79" i="27" s="1"/>
  <c r="O80" i="27" s="1"/>
  <c r="N87" i="27"/>
  <c r="N88" i="27"/>
  <c r="N77" i="27"/>
  <c r="N79" i="27" s="1"/>
  <c r="N80" i="27" s="1"/>
  <c r="M77" i="27"/>
  <c r="M79" i="27" s="1"/>
  <c r="AE235" i="27" s="1"/>
  <c r="L87" i="27"/>
  <c r="K77" i="27"/>
  <c r="K79" i="27" s="1"/>
  <c r="K87" i="27"/>
  <c r="J87" i="27"/>
  <c r="J88" i="27" s="1"/>
  <c r="I5" i="27"/>
  <c r="J77" i="27"/>
  <c r="J79" i="27" s="1"/>
  <c r="J80" i="27" s="1"/>
  <c r="I77" i="27"/>
  <c r="I79" i="27" s="1"/>
  <c r="AI85" i="27"/>
  <c r="AH84" i="27"/>
  <c r="H87" i="27"/>
  <c r="I87" i="27"/>
  <c r="I88" i="27" s="1"/>
  <c r="H5" i="27"/>
  <c r="H88" i="27"/>
  <c r="H77" i="27"/>
  <c r="H79" i="27" s="1"/>
  <c r="H80" i="27" s="1"/>
  <c r="G87" i="27"/>
  <c r="G88" i="27" s="1"/>
  <c r="F5" i="27"/>
  <c r="G77" i="27"/>
  <c r="G79" i="27" s="1"/>
  <c r="G7" i="27" s="1"/>
  <c r="AI60" i="27"/>
  <c r="AI82" i="27"/>
  <c r="F88" i="27"/>
  <c r="E5" i="27"/>
  <c r="F77" i="27"/>
  <c r="F79" i="27" s="1"/>
  <c r="X235" i="27" s="1"/>
  <c r="E77" i="27"/>
  <c r="E79" i="27" s="1"/>
  <c r="AI56" i="27"/>
  <c r="L77" i="27"/>
  <c r="L79" i="27" s="1"/>
  <c r="L80" i="27" s="1"/>
  <c r="AI81" i="27"/>
  <c r="D77" i="27"/>
  <c r="D79" i="27" s="1"/>
  <c r="AH100" i="27"/>
  <c r="AI100" i="27" s="1"/>
  <c r="C87" i="27"/>
  <c r="AI83" i="27"/>
  <c r="C77" i="27"/>
  <c r="C79" i="27" s="1"/>
  <c r="C80" i="27" s="1"/>
  <c r="AH42" i="27"/>
  <c r="B77" i="27"/>
  <c r="H4" i="27"/>
  <c r="AB80" i="27"/>
  <c r="AT235" i="27"/>
  <c r="AB7" i="27"/>
  <c r="B79" i="27"/>
  <c r="Z7" i="27"/>
  <c r="K80" i="27"/>
  <c r="AC235" i="27"/>
  <c r="K7" i="27"/>
  <c r="AS235" i="27"/>
  <c r="D80" i="27"/>
  <c r="V235" i="27"/>
  <c r="D7" i="27"/>
  <c r="V7" i="27"/>
  <c r="AV235" i="27"/>
  <c r="AD7" i="27"/>
  <c r="G215" i="27"/>
  <c r="F98" i="27"/>
  <c r="W235" i="27"/>
  <c r="E7" i="27"/>
  <c r="E80" i="27"/>
  <c r="AW235" i="27"/>
  <c r="AE7" i="27"/>
  <c r="C88" i="27"/>
  <c r="K88" i="27"/>
  <c r="AA88" i="27"/>
  <c r="T80" i="27"/>
  <c r="AU235" i="27"/>
  <c r="AC7" i="27"/>
  <c r="AC80" i="27"/>
  <c r="Y235" i="27"/>
  <c r="AP235" i="27"/>
  <c r="AX235" i="27"/>
  <c r="AF7" i="27"/>
  <c r="D88" i="27"/>
  <c r="L88" i="27"/>
  <c r="T88" i="27"/>
  <c r="AB88" i="27"/>
  <c r="I80" i="27"/>
  <c r="AA235" i="27"/>
  <c r="I7" i="27"/>
  <c r="AI235" i="27"/>
  <c r="Q7" i="27"/>
  <c r="AG77" i="27"/>
  <c r="E88" i="27"/>
  <c r="M88" i="27"/>
  <c r="U88" i="27"/>
  <c r="AC88" i="27"/>
  <c r="AI38" i="27"/>
  <c r="AI42" i="27"/>
  <c r="AI84" i="27"/>
  <c r="AH85" i="27"/>
  <c r="E221" i="27"/>
  <c r="D232" i="27"/>
  <c r="F220" i="27"/>
  <c r="AH56" i="27"/>
  <c r="AH60" i="27"/>
  <c r="AH72" i="27"/>
  <c r="AH81" i="27"/>
  <c r="B87" i="27"/>
  <c r="B88" i="27" s="1"/>
  <c r="AI72" i="27"/>
  <c r="AH82" i="27"/>
  <c r="AH83" i="27"/>
  <c r="AH38" i="27"/>
  <c r="Q100" i="25"/>
  <c r="Q99" i="25"/>
  <c r="Q37" i="25"/>
  <c r="P37" i="25"/>
  <c r="AF235" i="27" l="1"/>
  <c r="M80" i="27"/>
  <c r="AA80" i="27"/>
  <c r="Y7" i="27"/>
  <c r="W7" i="27"/>
  <c r="Z80" i="27"/>
  <c r="AR235" i="27"/>
  <c r="X80" i="27"/>
  <c r="T7" i="27"/>
  <c r="AQ235" i="27"/>
  <c r="W80" i="27"/>
  <c r="V80" i="27"/>
  <c r="U7" i="27"/>
  <c r="U80" i="27"/>
  <c r="S7" i="27"/>
  <c r="S80" i="27"/>
  <c r="R80" i="27"/>
  <c r="R7" i="27"/>
  <c r="AJ235" i="27"/>
  <c r="AG235" i="27"/>
  <c r="O7" i="27"/>
  <c r="P7" i="27"/>
  <c r="AH235" i="27"/>
  <c r="M7" i="27"/>
  <c r="N7" i="27"/>
  <c r="L7" i="27"/>
  <c r="J7" i="27"/>
  <c r="AB235" i="27"/>
  <c r="Z235" i="27"/>
  <c r="H7" i="27"/>
  <c r="G80" i="27"/>
  <c r="B230" i="27"/>
  <c r="AD235" i="27"/>
  <c r="C230" i="27"/>
  <c r="F80" i="27"/>
  <c r="F7" i="27"/>
  <c r="C7" i="27"/>
  <c r="U235" i="27"/>
  <c r="AH77" i="27"/>
  <c r="AI77" i="27"/>
  <c r="AI88" i="27"/>
  <c r="AH88" i="27"/>
  <c r="H215" i="27"/>
  <c r="B80" i="27"/>
  <c r="AI79" i="27"/>
  <c r="AH79" i="27"/>
  <c r="T235" i="27"/>
  <c r="B7" i="27"/>
  <c r="AI87" i="27"/>
  <c r="AH87" i="27"/>
  <c r="E256" i="27"/>
  <c r="G220" i="27"/>
  <c r="G98" i="27" s="1"/>
  <c r="F221" i="27"/>
  <c r="O37" i="25"/>
  <c r="N37" i="25"/>
  <c r="M37" i="25"/>
  <c r="I99" i="25"/>
  <c r="F39" i="25"/>
  <c r="AH80" i="27" l="1"/>
  <c r="K6" i="27"/>
  <c r="A7" i="27"/>
  <c r="I215" i="27"/>
  <c r="F256" i="27"/>
  <c r="H220" i="27"/>
  <c r="H221" i="27" s="1"/>
  <c r="G221" i="27"/>
  <c r="G256" i="27" l="1"/>
  <c r="I220" i="27"/>
  <c r="H98" i="27"/>
  <c r="I98" i="27"/>
  <c r="I221" i="27"/>
  <c r="J215" i="27"/>
  <c r="K215" i="27" l="1"/>
  <c r="H256" i="27"/>
  <c r="J220" i="27"/>
  <c r="K220" i="27" l="1"/>
  <c r="I256" i="27"/>
  <c r="K221" i="27"/>
  <c r="L215" i="27"/>
  <c r="K98" i="27"/>
  <c r="J98" i="27"/>
  <c r="J221" i="27"/>
  <c r="M215" i="27" l="1"/>
  <c r="J256" i="27"/>
  <c r="L220" i="27"/>
  <c r="L221" i="27" s="1"/>
  <c r="L98" i="27" l="1"/>
  <c r="N215" i="27"/>
  <c r="K256" i="27"/>
  <c r="M220" i="27"/>
  <c r="AK39" i="25"/>
  <c r="AF260" i="25"/>
  <c r="AE260" i="25"/>
  <c r="AD260" i="25"/>
  <c r="AC260" i="25"/>
  <c r="AB260" i="25"/>
  <c r="AA260" i="25"/>
  <c r="Z260" i="25"/>
  <c r="Y260" i="25"/>
  <c r="X260" i="25"/>
  <c r="W260" i="25"/>
  <c r="V260" i="25"/>
  <c r="U260" i="25"/>
  <c r="T260" i="25"/>
  <c r="S260" i="25"/>
  <c r="R260" i="25"/>
  <c r="Q260" i="25"/>
  <c r="P260" i="25"/>
  <c r="O260" i="25"/>
  <c r="N260" i="25"/>
  <c r="M260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AF259" i="25"/>
  <c r="AE259" i="25"/>
  <c r="AD259" i="25"/>
  <c r="AC259" i="25"/>
  <c r="AB259" i="25"/>
  <c r="AA259" i="25"/>
  <c r="Z259" i="25"/>
  <c r="Y259" i="25"/>
  <c r="X259" i="25"/>
  <c r="W259" i="25"/>
  <c r="V259" i="25"/>
  <c r="U259" i="25"/>
  <c r="T259" i="25"/>
  <c r="S259" i="25"/>
  <c r="R259" i="25"/>
  <c r="Q259" i="25"/>
  <c r="P259" i="25"/>
  <c r="O259" i="25"/>
  <c r="N259" i="25"/>
  <c r="M259" i="25"/>
  <c r="L259" i="25"/>
  <c r="K259" i="25"/>
  <c r="J259" i="25"/>
  <c r="I259" i="25"/>
  <c r="H259" i="25"/>
  <c r="G259" i="25"/>
  <c r="F259" i="25"/>
  <c r="E259" i="25"/>
  <c r="D259" i="25"/>
  <c r="C259" i="25"/>
  <c r="B259" i="25"/>
  <c r="A259" i="25"/>
  <c r="AF258" i="25"/>
  <c r="AE258" i="25"/>
  <c r="AD258" i="25"/>
  <c r="AC258" i="25"/>
  <c r="AB258" i="25"/>
  <c r="AA258" i="25"/>
  <c r="Z258" i="25"/>
  <c r="Y258" i="25"/>
  <c r="X258" i="25"/>
  <c r="W258" i="25"/>
  <c r="V258" i="25"/>
  <c r="U258" i="25"/>
  <c r="T258" i="25"/>
  <c r="S258" i="25"/>
  <c r="R258" i="25"/>
  <c r="Q258" i="25"/>
  <c r="P258" i="25"/>
  <c r="O258" i="25"/>
  <c r="N258" i="25"/>
  <c r="M258" i="25"/>
  <c r="L258" i="25"/>
  <c r="K258" i="25"/>
  <c r="J258" i="25"/>
  <c r="I258" i="25"/>
  <c r="H258" i="25"/>
  <c r="G258" i="25"/>
  <c r="F258" i="25"/>
  <c r="E258" i="25"/>
  <c r="D258" i="25"/>
  <c r="C258" i="25"/>
  <c r="B258" i="25"/>
  <c r="A258" i="25"/>
  <c r="AF257" i="25"/>
  <c r="AE257" i="25"/>
  <c r="AD257" i="25"/>
  <c r="AC257" i="25"/>
  <c r="AB257" i="25"/>
  <c r="AA257" i="25"/>
  <c r="Z257" i="25"/>
  <c r="Y257" i="25"/>
  <c r="X257" i="25"/>
  <c r="W257" i="25"/>
  <c r="V257" i="25"/>
  <c r="U257" i="25"/>
  <c r="T257" i="25"/>
  <c r="S257" i="25"/>
  <c r="R257" i="25"/>
  <c r="Q257" i="25"/>
  <c r="P257" i="25"/>
  <c r="O257" i="25"/>
  <c r="N257" i="25"/>
  <c r="M257" i="25"/>
  <c r="L257" i="25"/>
  <c r="K257" i="25"/>
  <c r="J257" i="25"/>
  <c r="I257" i="25"/>
  <c r="H257" i="25"/>
  <c r="G257" i="25"/>
  <c r="F257" i="25"/>
  <c r="E257" i="25"/>
  <c r="D257" i="25"/>
  <c r="C257" i="25"/>
  <c r="B257" i="25"/>
  <c r="A257" i="25"/>
  <c r="AE256" i="25"/>
  <c r="AD256" i="25"/>
  <c r="AC256" i="25"/>
  <c r="AB256" i="25"/>
  <c r="AA256" i="25"/>
  <c r="Z256" i="25"/>
  <c r="Y256" i="25"/>
  <c r="X256" i="25"/>
  <c r="W256" i="25"/>
  <c r="V256" i="25"/>
  <c r="U256" i="25"/>
  <c r="T256" i="25"/>
  <c r="S256" i="25"/>
  <c r="R256" i="25"/>
  <c r="Q256" i="25"/>
  <c r="P256" i="25"/>
  <c r="C256" i="25"/>
  <c r="B256" i="25"/>
  <c r="S231" i="25"/>
  <c r="AG221" i="25"/>
  <c r="AG55" i="25" s="1"/>
  <c r="AG56" i="25" s="1"/>
  <c r="AG3" i="25" s="1"/>
  <c r="AF221" i="25"/>
  <c r="AE221" i="25"/>
  <c r="AD221" i="25"/>
  <c r="AC221" i="25"/>
  <c r="AB221" i="25"/>
  <c r="AA221" i="25"/>
  <c r="Z221" i="25"/>
  <c r="Y221" i="25"/>
  <c r="X221" i="25"/>
  <c r="W221" i="25"/>
  <c r="V221" i="25"/>
  <c r="U221" i="25"/>
  <c r="T221" i="25"/>
  <c r="S221" i="25"/>
  <c r="R221" i="25"/>
  <c r="Q221" i="25"/>
  <c r="C221" i="25"/>
  <c r="D220" i="25"/>
  <c r="E220" i="25" s="1"/>
  <c r="B220" i="25"/>
  <c r="B98" i="25" s="1"/>
  <c r="H219" i="25"/>
  <c r="I219" i="25" s="1"/>
  <c r="J219" i="25" s="1"/>
  <c r="K219" i="25" s="1"/>
  <c r="L219" i="25" s="1"/>
  <c r="M219" i="25" s="1"/>
  <c r="N219" i="25" s="1"/>
  <c r="O219" i="25" s="1"/>
  <c r="P219" i="25" s="1"/>
  <c r="G219" i="25"/>
  <c r="F219" i="25"/>
  <c r="E219" i="25"/>
  <c r="D219" i="25"/>
  <c r="B219" i="25"/>
  <c r="E218" i="25"/>
  <c r="F218" i="25" s="1"/>
  <c r="G218" i="25" s="1"/>
  <c r="H218" i="25" s="1"/>
  <c r="I218" i="25" s="1"/>
  <c r="J218" i="25" s="1"/>
  <c r="K218" i="25" s="1"/>
  <c r="L218" i="25" s="1"/>
  <c r="M218" i="25" s="1"/>
  <c r="N218" i="25" s="1"/>
  <c r="O218" i="25" s="1"/>
  <c r="P218" i="25" s="1"/>
  <c r="D218" i="25"/>
  <c r="B218" i="25"/>
  <c r="D217" i="25"/>
  <c r="D221" i="25" s="1"/>
  <c r="B217" i="25"/>
  <c r="B221" i="25" s="1"/>
  <c r="D216" i="25"/>
  <c r="E216" i="25" s="1"/>
  <c r="F216" i="25" s="1"/>
  <c r="G216" i="25" s="1"/>
  <c r="H216" i="25" s="1"/>
  <c r="I216" i="25" s="1"/>
  <c r="J216" i="25" s="1"/>
  <c r="K216" i="25" s="1"/>
  <c r="L216" i="25" s="1"/>
  <c r="M216" i="25" s="1"/>
  <c r="N216" i="25" s="1"/>
  <c r="O216" i="25" s="1"/>
  <c r="P216" i="25" s="1"/>
  <c r="B216" i="25"/>
  <c r="G215" i="25"/>
  <c r="H215" i="25" s="1"/>
  <c r="F215" i="25"/>
  <c r="E215" i="25"/>
  <c r="D215" i="25"/>
  <c r="B215" i="25"/>
  <c r="AG213" i="25"/>
  <c r="AF213" i="25"/>
  <c r="AE213" i="25"/>
  <c r="AD213" i="25"/>
  <c r="AC213" i="25"/>
  <c r="AB213" i="25"/>
  <c r="AA213" i="25"/>
  <c r="Z213" i="25"/>
  <c r="Y213" i="25"/>
  <c r="X213" i="25"/>
  <c r="W213" i="25"/>
  <c r="V213" i="25"/>
  <c r="U213" i="25"/>
  <c r="T213" i="25"/>
  <c r="S213" i="25"/>
  <c r="R213" i="25"/>
  <c r="Q213" i="25"/>
  <c r="P213" i="25"/>
  <c r="O213" i="25"/>
  <c r="N213" i="25"/>
  <c r="M213" i="25"/>
  <c r="L213" i="25"/>
  <c r="K213" i="25"/>
  <c r="J213" i="25"/>
  <c r="I213" i="25"/>
  <c r="H213" i="25"/>
  <c r="G213" i="25"/>
  <c r="F213" i="25"/>
  <c r="E213" i="25"/>
  <c r="D213" i="25"/>
  <c r="C213" i="25"/>
  <c r="B213" i="25"/>
  <c r="AH106" i="25"/>
  <c r="AI106" i="25" s="1"/>
  <c r="AH105" i="25"/>
  <c r="AI105" i="25" s="1"/>
  <c r="AH104" i="25"/>
  <c r="AI104" i="25" s="1"/>
  <c r="AH103" i="25"/>
  <c r="AI103" i="25" s="1"/>
  <c r="AH102" i="25"/>
  <c r="AI102" i="25" s="1"/>
  <c r="AH101" i="25"/>
  <c r="AI101" i="25" s="1"/>
  <c r="AH100" i="25"/>
  <c r="AI100" i="25" s="1"/>
  <c r="AH99" i="25"/>
  <c r="AI99" i="25" s="1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D98" i="25"/>
  <c r="C98" i="25"/>
  <c r="AI97" i="25"/>
  <c r="AH97" i="25"/>
  <c r="AI96" i="25"/>
  <c r="AH96" i="25"/>
  <c r="AI95" i="25"/>
  <c r="AH95" i="25"/>
  <c r="AI94" i="25"/>
  <c r="AH94" i="25"/>
  <c r="AI93" i="25"/>
  <c r="AH93" i="25"/>
  <c r="AI92" i="25"/>
  <c r="AH92" i="25"/>
  <c r="AI91" i="25"/>
  <c r="AH91" i="25"/>
  <c r="AI90" i="25"/>
  <c r="AH90" i="25"/>
  <c r="AI89" i="25"/>
  <c r="AH89" i="25"/>
  <c r="AI86" i="25"/>
  <c r="AH86" i="25"/>
  <c r="AF85" i="25"/>
  <c r="AE85" i="25"/>
  <c r="AD85" i="25"/>
  <c r="AC85" i="25"/>
  <c r="AC87" i="25" s="1"/>
  <c r="AB85" i="25"/>
  <c r="AB87" i="25" s="1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AF81" i="25"/>
  <c r="AF87" i="25" s="1"/>
  <c r="AE81" i="25"/>
  <c r="AE87" i="25" s="1"/>
  <c r="AD81" i="25"/>
  <c r="AC81" i="25"/>
  <c r="AB81" i="25"/>
  <c r="AA81" i="25"/>
  <c r="Z81" i="25"/>
  <c r="Z87" i="25" s="1"/>
  <c r="Y81" i="25"/>
  <c r="Y87" i="25" s="1"/>
  <c r="X81" i="25"/>
  <c r="W81" i="25"/>
  <c r="V81" i="25"/>
  <c r="U81" i="25"/>
  <c r="T81" i="25"/>
  <c r="S81" i="25"/>
  <c r="S87" i="25" s="1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B81" i="25"/>
  <c r="AI78" i="25"/>
  <c r="AH78" i="25"/>
  <c r="AI76" i="25"/>
  <c r="AH76" i="25"/>
  <c r="AG76" i="25"/>
  <c r="AG79" i="25" s="1"/>
  <c r="AI75" i="25"/>
  <c r="AH75" i="25"/>
  <c r="AI74" i="25"/>
  <c r="AH74" i="25"/>
  <c r="AI73" i="25"/>
  <c r="AH73" i="25"/>
  <c r="AG72" i="25"/>
  <c r="AF72" i="25"/>
  <c r="AE5" i="25" s="1"/>
  <c r="AE72" i="25"/>
  <c r="AD5" i="25" s="1"/>
  <c r="AD72" i="25"/>
  <c r="AC5" i="25" s="1"/>
  <c r="AC72" i="25"/>
  <c r="AB5" i="25" s="1"/>
  <c r="AB72" i="25"/>
  <c r="AA72" i="25"/>
  <c r="Z72" i="25"/>
  <c r="Y72" i="25"/>
  <c r="X5" i="25" s="1"/>
  <c r="X72" i="25"/>
  <c r="W5" i="25" s="1"/>
  <c r="W72" i="25"/>
  <c r="V5" i="25" s="1"/>
  <c r="V72" i="25"/>
  <c r="U5" i="25" s="1"/>
  <c r="U72" i="25"/>
  <c r="T5" i="25" s="1"/>
  <c r="T72" i="25"/>
  <c r="S72" i="25"/>
  <c r="R72" i="25"/>
  <c r="Q72" i="25"/>
  <c r="P5" i="25" s="1"/>
  <c r="P72" i="25"/>
  <c r="O5" i="25" s="1"/>
  <c r="O72" i="25"/>
  <c r="N5" i="25" s="1"/>
  <c r="N72" i="25"/>
  <c r="M5" i="25" s="1"/>
  <c r="M72" i="25"/>
  <c r="L5" i="25" s="1"/>
  <c r="L72" i="25"/>
  <c r="K5" i="25" s="1"/>
  <c r="K72" i="25"/>
  <c r="J5" i="25" s="1"/>
  <c r="J72" i="25"/>
  <c r="I72" i="25"/>
  <c r="H5" i="25" s="1"/>
  <c r="H72" i="25"/>
  <c r="G5" i="25" s="1"/>
  <c r="G72" i="25"/>
  <c r="F5" i="25" s="1"/>
  <c r="F72" i="25"/>
  <c r="E5" i="25" s="1"/>
  <c r="E72" i="25"/>
  <c r="D5" i="25" s="1"/>
  <c r="D72" i="25"/>
  <c r="C72" i="25"/>
  <c r="B72" i="25"/>
  <c r="AI71" i="25"/>
  <c r="AH71" i="25"/>
  <c r="AI70" i="25"/>
  <c r="AH70" i="25"/>
  <c r="AI69" i="25"/>
  <c r="AH69" i="25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G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AI59" i="25"/>
  <c r="AH59" i="25"/>
  <c r="AI58" i="25"/>
  <c r="AH58" i="25"/>
  <c r="AI57" i="25"/>
  <c r="AH57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G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AI41" i="25"/>
  <c r="AH41" i="25"/>
  <c r="AI40" i="25"/>
  <c r="AH40" i="25"/>
  <c r="AI39" i="25"/>
  <c r="AH39" i="25"/>
  <c r="AG38" i="25"/>
  <c r="AG77" i="25" s="1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G4" i="25"/>
  <c r="K4" i="25"/>
  <c r="B4" i="25"/>
  <c r="S232" i="25" s="1"/>
  <c r="E4" i="25"/>
  <c r="L256" i="27" l="1"/>
  <c r="N220" i="27"/>
  <c r="M221" i="27"/>
  <c r="M98" i="27"/>
  <c r="O215" i="27"/>
  <c r="N98" i="27"/>
  <c r="N221" i="27"/>
  <c r="AF77" i="25"/>
  <c r="AF79" i="25" s="1"/>
  <c r="AE77" i="25"/>
  <c r="AE79" i="25" s="1"/>
  <c r="AE88" i="25"/>
  <c r="AD87" i="25"/>
  <c r="AD77" i="25"/>
  <c r="AD79" i="25" s="1"/>
  <c r="AC77" i="25"/>
  <c r="AC79" i="25" s="1"/>
  <c r="AU235" i="25" s="1"/>
  <c r="AB88" i="25"/>
  <c r="AB77" i="25"/>
  <c r="AB79" i="25" s="1"/>
  <c r="AB7" i="25" s="1"/>
  <c r="AA87" i="25"/>
  <c r="AA88" i="25"/>
  <c r="AA77" i="25"/>
  <c r="AA79" i="25" s="1"/>
  <c r="AA7" i="25" s="1"/>
  <c r="Z77" i="25"/>
  <c r="Z79" i="25" s="1"/>
  <c r="Z80" i="25" s="1"/>
  <c r="Y88" i="25"/>
  <c r="Y77" i="25"/>
  <c r="Y79" i="25" s="1"/>
  <c r="Y80" i="25" s="1"/>
  <c r="X87" i="25"/>
  <c r="X77" i="25"/>
  <c r="X79" i="25" s="1"/>
  <c r="X80" i="25" s="1"/>
  <c r="W77" i="25"/>
  <c r="W79" i="25" s="1"/>
  <c r="AO235" i="25" s="1"/>
  <c r="W87" i="25"/>
  <c r="W88" i="25" s="1"/>
  <c r="V87" i="25"/>
  <c r="V77" i="25"/>
  <c r="V79" i="25" s="1"/>
  <c r="V7" i="25" s="1"/>
  <c r="U87" i="25"/>
  <c r="U77" i="25"/>
  <c r="U79" i="25" s="1"/>
  <c r="AM235" i="25" s="1"/>
  <c r="T87" i="25"/>
  <c r="T88" i="25"/>
  <c r="T77" i="25"/>
  <c r="T79" i="25" s="1"/>
  <c r="T7" i="25" s="1"/>
  <c r="S77" i="25"/>
  <c r="S79" i="25" s="1"/>
  <c r="AK235" i="25" s="1"/>
  <c r="S88" i="25"/>
  <c r="R87" i="25"/>
  <c r="R77" i="25"/>
  <c r="R79" i="25" s="1"/>
  <c r="Q87" i="25"/>
  <c r="Q88" i="25" s="1"/>
  <c r="Q77" i="25"/>
  <c r="Q79" i="25" s="1"/>
  <c r="P87" i="25"/>
  <c r="P77" i="25"/>
  <c r="P79" i="25" s="1"/>
  <c r="P7" i="25" s="1"/>
  <c r="O87" i="25"/>
  <c r="O88" i="25" s="1"/>
  <c r="O77" i="25"/>
  <c r="O79" i="25" s="1"/>
  <c r="O80" i="25" s="1"/>
  <c r="N87" i="25"/>
  <c r="M87" i="25"/>
  <c r="N77" i="25"/>
  <c r="N79" i="25" s="1"/>
  <c r="AF235" i="25" s="1"/>
  <c r="M77" i="25"/>
  <c r="M79" i="25" s="1"/>
  <c r="AE235" i="25" s="1"/>
  <c r="L87" i="25"/>
  <c r="L77" i="25"/>
  <c r="L79" i="25" s="1"/>
  <c r="L7" i="25" s="1"/>
  <c r="K87" i="25"/>
  <c r="K88" i="25" s="1"/>
  <c r="K77" i="25"/>
  <c r="K79" i="25" s="1"/>
  <c r="J77" i="25"/>
  <c r="J79" i="25" s="1"/>
  <c r="J87" i="25"/>
  <c r="I77" i="25"/>
  <c r="I79" i="25" s="1"/>
  <c r="AA235" i="25" s="1"/>
  <c r="H87" i="25"/>
  <c r="H77" i="25"/>
  <c r="H79" i="25" s="1"/>
  <c r="H7" i="25" s="1"/>
  <c r="G87" i="25"/>
  <c r="G88" i="25" s="1"/>
  <c r="G77" i="25"/>
  <c r="G79" i="25" s="1"/>
  <c r="F87" i="25"/>
  <c r="F77" i="25"/>
  <c r="F79" i="25" s="1"/>
  <c r="E77" i="25"/>
  <c r="E79" i="25" s="1"/>
  <c r="W235" i="25" s="1"/>
  <c r="E87" i="25"/>
  <c r="AH56" i="25"/>
  <c r="AH81" i="25"/>
  <c r="AI81" i="25"/>
  <c r="D87" i="25"/>
  <c r="AI82" i="25"/>
  <c r="AI85" i="25"/>
  <c r="D88" i="25"/>
  <c r="AI56" i="25"/>
  <c r="D77" i="25"/>
  <c r="D79" i="25" s="1"/>
  <c r="D7" i="25" s="1"/>
  <c r="C87" i="25"/>
  <c r="C88" i="25" s="1"/>
  <c r="AI83" i="25"/>
  <c r="AI84" i="25"/>
  <c r="AH42" i="25"/>
  <c r="C77" i="25"/>
  <c r="C79" i="25" s="1"/>
  <c r="C7" i="25" s="1"/>
  <c r="AH83" i="25"/>
  <c r="AH84" i="25"/>
  <c r="AH82" i="25"/>
  <c r="AH85" i="25"/>
  <c r="H4" i="25"/>
  <c r="G80" i="25"/>
  <c r="G7" i="25"/>
  <c r="Y235" i="25"/>
  <c r="O7" i="25"/>
  <c r="AE80" i="25"/>
  <c r="AE7" i="25"/>
  <c r="AW235" i="25"/>
  <c r="AF80" i="25"/>
  <c r="AX235" i="25"/>
  <c r="AF7" i="25"/>
  <c r="AI60" i="25"/>
  <c r="AH60" i="25"/>
  <c r="D256" i="25"/>
  <c r="E98" i="25"/>
  <c r="F220" i="25"/>
  <c r="AH235" i="25"/>
  <c r="B77" i="25"/>
  <c r="J80" i="25"/>
  <c r="AB235" i="25"/>
  <c r="J7" i="25"/>
  <c r="AJ235" i="25"/>
  <c r="R7" i="25"/>
  <c r="R80" i="25"/>
  <c r="F88" i="25"/>
  <c r="N88" i="25"/>
  <c r="V88" i="25"/>
  <c r="AD88" i="25"/>
  <c r="I215" i="25"/>
  <c r="AI235" i="25"/>
  <c r="Q7" i="25"/>
  <c r="AS235" i="25"/>
  <c r="AT235" i="25"/>
  <c r="AB80" i="25"/>
  <c r="H88" i="25"/>
  <c r="P88" i="25"/>
  <c r="X88" i="25"/>
  <c r="AF88" i="25"/>
  <c r="H80" i="25"/>
  <c r="E7" i="25"/>
  <c r="M7" i="25"/>
  <c r="U7" i="25"/>
  <c r="AC7" i="25"/>
  <c r="AC80" i="25"/>
  <c r="X235" i="25"/>
  <c r="F80" i="25"/>
  <c r="F7" i="25"/>
  <c r="V80" i="25"/>
  <c r="AV235" i="25"/>
  <c r="AD7" i="25"/>
  <c r="AD80" i="25"/>
  <c r="J88" i="25"/>
  <c r="R88" i="25"/>
  <c r="Z88" i="25"/>
  <c r="I5" i="25"/>
  <c r="AF256" i="25"/>
  <c r="B5" i="25"/>
  <c r="R5" i="25"/>
  <c r="Z5" i="25"/>
  <c r="AI38" i="25"/>
  <c r="AI42" i="25"/>
  <c r="E88" i="25"/>
  <c r="M88" i="25"/>
  <c r="U88" i="25"/>
  <c r="AC88" i="25"/>
  <c r="D232" i="25"/>
  <c r="L88" i="25"/>
  <c r="E217" i="25"/>
  <c r="F217" i="25" s="1"/>
  <c r="G217" i="25" s="1"/>
  <c r="H217" i="25" s="1"/>
  <c r="I217" i="25" s="1"/>
  <c r="J217" i="25" s="1"/>
  <c r="K217" i="25" s="1"/>
  <c r="L217" i="25" s="1"/>
  <c r="M217" i="25" s="1"/>
  <c r="N217" i="25" s="1"/>
  <c r="O217" i="25" s="1"/>
  <c r="P217" i="25" s="1"/>
  <c r="AG2" i="25"/>
  <c r="AG6" i="25" s="1"/>
  <c r="C5" i="25"/>
  <c r="S5" i="25"/>
  <c r="AA5" i="25"/>
  <c r="AI72" i="25"/>
  <c r="Q5" i="25"/>
  <c r="AH38" i="25"/>
  <c r="AF5" i="25"/>
  <c r="Y5" i="25"/>
  <c r="I87" i="25"/>
  <c r="I88" i="25" s="1"/>
  <c r="AH72" i="25"/>
  <c r="B87" i="25"/>
  <c r="B88" i="25" s="1"/>
  <c r="E80" i="25" l="1"/>
  <c r="L80" i="25"/>
  <c r="X7" i="25"/>
  <c r="W80" i="25"/>
  <c r="W7" i="25"/>
  <c r="AP235" i="25"/>
  <c r="AL235" i="25"/>
  <c r="P215" i="27"/>
  <c r="M256" i="27"/>
  <c r="O220" i="27"/>
  <c r="AA80" i="25"/>
  <c r="Z7" i="25"/>
  <c r="AR235" i="25"/>
  <c r="Y7" i="25"/>
  <c r="AQ235" i="25"/>
  <c r="AN235" i="25"/>
  <c r="U80" i="25"/>
  <c r="S80" i="25"/>
  <c r="S7" i="25"/>
  <c r="T80" i="25"/>
  <c r="Q80" i="25"/>
  <c r="AG235" i="25"/>
  <c r="P80" i="25"/>
  <c r="N7" i="25"/>
  <c r="N80" i="25"/>
  <c r="M80" i="25"/>
  <c r="AD235" i="25"/>
  <c r="I7" i="25"/>
  <c r="C230" i="25"/>
  <c r="K80" i="25"/>
  <c r="K7" i="25"/>
  <c r="AC235" i="25"/>
  <c r="B230" i="25"/>
  <c r="Z235" i="25"/>
  <c r="V235" i="25"/>
  <c r="D80" i="25"/>
  <c r="U235" i="25"/>
  <c r="C80" i="25"/>
  <c r="AI88" i="25"/>
  <c r="AH88" i="25"/>
  <c r="AI87" i="25"/>
  <c r="AH87" i="25"/>
  <c r="I80" i="25"/>
  <c r="J215" i="25"/>
  <c r="B79" i="25"/>
  <c r="AH77" i="25"/>
  <c r="AI77" i="25"/>
  <c r="E256" i="25"/>
  <c r="F98" i="25"/>
  <c r="G220" i="25"/>
  <c r="F221" i="25"/>
  <c r="E221" i="25"/>
  <c r="N256" i="27" l="1"/>
  <c r="P220" i="27"/>
  <c r="O256" i="27" s="1"/>
  <c r="O221" i="27"/>
  <c r="O98" i="27"/>
  <c r="P98" i="27"/>
  <c r="P221" i="27"/>
  <c r="K6" i="25"/>
  <c r="F256" i="25"/>
  <c r="G98" i="25"/>
  <c r="H220" i="25"/>
  <c r="G221" i="25"/>
  <c r="K215" i="25"/>
  <c r="B80" i="25"/>
  <c r="AH80" i="25" s="1"/>
  <c r="AI79" i="25"/>
  <c r="AH79" i="25"/>
  <c r="T235" i="25"/>
  <c r="B7" i="25"/>
  <c r="A7" i="25" s="1"/>
  <c r="AH98" i="27" l="1"/>
  <c r="AI98" i="27"/>
  <c r="G256" i="25"/>
  <c r="I220" i="25"/>
  <c r="H98" i="25"/>
  <c r="H221" i="25"/>
  <c r="L215" i="25"/>
  <c r="M215" i="25" l="1"/>
  <c r="H256" i="25"/>
  <c r="J220" i="25"/>
  <c r="I221" i="25"/>
  <c r="I98" i="25"/>
  <c r="K220" i="25" l="1"/>
  <c r="I256" i="25"/>
  <c r="J221" i="25"/>
  <c r="J98" i="25"/>
  <c r="N215" i="25"/>
  <c r="O215" i="25" l="1"/>
  <c r="J256" i="25"/>
  <c r="L220" i="25"/>
  <c r="K98" i="25"/>
  <c r="K221" i="25"/>
  <c r="K256" i="25" l="1"/>
  <c r="M220" i="25"/>
  <c r="L221" i="25"/>
  <c r="L98" i="25"/>
  <c r="P215" i="25"/>
  <c r="L256" i="25" l="1"/>
  <c r="N220" i="25"/>
  <c r="M98" i="25"/>
  <c r="M221" i="25"/>
  <c r="M256" i="25" l="1"/>
  <c r="O220" i="25"/>
  <c r="N98" i="25"/>
  <c r="N221" i="25"/>
  <c r="N256" i="25" l="1"/>
  <c r="P220" i="25"/>
  <c r="O221" i="25"/>
  <c r="O98" i="25"/>
  <c r="O256" i="25" l="1"/>
  <c r="P221" i="25"/>
  <c r="P98" i="25"/>
  <c r="AH98" i="25" l="1"/>
  <c r="AI98" i="25"/>
  <c r="AB100" i="24" l="1"/>
  <c r="AB99" i="24"/>
  <c r="AB37" i="24"/>
  <c r="AA37" i="24"/>
  <c r="Z37" i="24"/>
  <c r="X37" i="24"/>
  <c r="W56" i="24"/>
  <c r="W38" i="24"/>
  <c r="W37" i="24"/>
  <c r="V37" i="24"/>
  <c r="U37" i="24"/>
  <c r="T37" i="24"/>
  <c r="S37" i="24"/>
  <c r="R37" i="24"/>
  <c r="Q37" i="24"/>
  <c r="P37" i="24"/>
  <c r="O37" i="24"/>
  <c r="N37" i="24"/>
  <c r="M99" i="24"/>
  <c r="M37" i="24"/>
  <c r="K37" i="24"/>
  <c r="J37" i="24"/>
  <c r="I37" i="24"/>
  <c r="H37" i="24"/>
  <c r="G37" i="24"/>
  <c r="F37" i="24"/>
  <c r="E37" i="24"/>
  <c r="D37" i="24"/>
  <c r="C37" i="24"/>
  <c r="B98" i="24"/>
  <c r="B85" i="24"/>
  <c r="B84" i="24"/>
  <c r="B83" i="24"/>
  <c r="B82" i="24"/>
  <c r="B81" i="24"/>
  <c r="B87" i="24" s="1"/>
  <c r="B72" i="24"/>
  <c r="AF5" i="24" s="1"/>
  <c r="B60" i="24"/>
  <c r="B56" i="24"/>
  <c r="B42" i="24"/>
  <c r="B38" i="24"/>
  <c r="B37" i="24"/>
  <c r="AF260" i="24"/>
  <c r="AE260" i="24"/>
  <c r="AD260" i="24"/>
  <c r="AC260" i="24"/>
  <c r="AB260" i="24"/>
  <c r="AA260" i="24"/>
  <c r="Z260" i="24"/>
  <c r="Y260" i="24"/>
  <c r="X260" i="24"/>
  <c r="W260" i="24"/>
  <c r="V260" i="24"/>
  <c r="U260" i="24"/>
  <c r="T260" i="24"/>
  <c r="S260" i="24"/>
  <c r="R260" i="24"/>
  <c r="Q260" i="24"/>
  <c r="P260" i="24"/>
  <c r="O260" i="24"/>
  <c r="N260" i="24"/>
  <c r="M260" i="24"/>
  <c r="L260" i="24"/>
  <c r="K260" i="24"/>
  <c r="J260" i="24"/>
  <c r="I260" i="24"/>
  <c r="H260" i="24"/>
  <c r="G260" i="24"/>
  <c r="F260" i="24"/>
  <c r="E260" i="24"/>
  <c r="D260" i="24"/>
  <c r="C260" i="24"/>
  <c r="B260" i="24"/>
  <c r="A260" i="24"/>
  <c r="AF259" i="24"/>
  <c r="AE259" i="24"/>
  <c r="AD259" i="24"/>
  <c r="AC259" i="24"/>
  <c r="AB259" i="24"/>
  <c r="AA259" i="24"/>
  <c r="Z259" i="24"/>
  <c r="Y259" i="24"/>
  <c r="X259" i="24"/>
  <c r="W259" i="24"/>
  <c r="V259" i="24"/>
  <c r="U259" i="24"/>
  <c r="T259" i="24"/>
  <c r="S259" i="24"/>
  <c r="R259" i="24"/>
  <c r="Q259" i="24"/>
  <c r="P259" i="24"/>
  <c r="O259" i="24"/>
  <c r="N259" i="24"/>
  <c r="M259" i="24"/>
  <c r="L259" i="24"/>
  <c r="K259" i="24"/>
  <c r="J259" i="24"/>
  <c r="I259" i="24"/>
  <c r="H259" i="24"/>
  <c r="G259" i="24"/>
  <c r="F259" i="24"/>
  <c r="E259" i="24"/>
  <c r="D259" i="24"/>
  <c r="C259" i="24"/>
  <c r="B259" i="24"/>
  <c r="A259" i="24"/>
  <c r="AF258" i="24"/>
  <c r="AE258" i="24"/>
  <c r="AD258" i="24"/>
  <c r="AC258" i="24"/>
  <c r="AB258" i="24"/>
  <c r="AA258" i="24"/>
  <c r="Z258" i="24"/>
  <c r="Y258" i="24"/>
  <c r="X258" i="24"/>
  <c r="W258" i="24"/>
  <c r="V258" i="24"/>
  <c r="U258" i="24"/>
  <c r="T258" i="24"/>
  <c r="S258" i="24"/>
  <c r="R258" i="24"/>
  <c r="Q258" i="24"/>
  <c r="P258" i="24"/>
  <c r="O258" i="24"/>
  <c r="N258" i="24"/>
  <c r="M258" i="24"/>
  <c r="L258" i="24"/>
  <c r="K258" i="24"/>
  <c r="J258" i="24"/>
  <c r="I258" i="24"/>
  <c r="H258" i="24"/>
  <c r="G258" i="24"/>
  <c r="F258" i="24"/>
  <c r="E258" i="24"/>
  <c r="D258" i="24"/>
  <c r="C258" i="24"/>
  <c r="B258" i="24"/>
  <c r="A258" i="24"/>
  <c r="AF257" i="24"/>
  <c r="AE257" i="24"/>
  <c r="AD257" i="24"/>
  <c r="AC257" i="24"/>
  <c r="AB257" i="24"/>
  <c r="AA257" i="24"/>
  <c r="Z257" i="24"/>
  <c r="Y257" i="24"/>
  <c r="X257" i="24"/>
  <c r="W257" i="24"/>
  <c r="V257" i="24"/>
  <c r="U257" i="24"/>
  <c r="T257" i="24"/>
  <c r="S257" i="24"/>
  <c r="R257" i="24"/>
  <c r="Q257" i="24"/>
  <c r="P257" i="24"/>
  <c r="O257" i="24"/>
  <c r="N257" i="24"/>
  <c r="M257" i="24"/>
  <c r="L257" i="24"/>
  <c r="K257" i="24"/>
  <c r="J257" i="24"/>
  <c r="I257" i="24"/>
  <c r="H257" i="24"/>
  <c r="G257" i="24"/>
  <c r="F257" i="24"/>
  <c r="E257" i="24"/>
  <c r="D257" i="24"/>
  <c r="C257" i="24"/>
  <c r="B257" i="24"/>
  <c r="A257" i="24"/>
  <c r="AE256" i="24"/>
  <c r="AD256" i="24"/>
  <c r="AC256" i="24"/>
  <c r="AB256" i="24"/>
  <c r="AA256" i="24"/>
  <c r="Z256" i="24"/>
  <c r="Y256" i="24"/>
  <c r="X256" i="24"/>
  <c r="W256" i="24"/>
  <c r="V256" i="24"/>
  <c r="U256" i="24"/>
  <c r="T256" i="24"/>
  <c r="S256" i="24"/>
  <c r="R256" i="24"/>
  <c r="Q256" i="24"/>
  <c r="P256" i="24"/>
  <c r="B256" i="24"/>
  <c r="S231" i="24"/>
  <c r="AG221" i="24"/>
  <c r="AF221" i="24"/>
  <c r="AE221" i="24"/>
  <c r="AD221" i="24"/>
  <c r="AC221" i="24"/>
  <c r="AB221" i="24"/>
  <c r="AA221" i="24"/>
  <c r="Z221" i="24"/>
  <c r="Y221" i="24"/>
  <c r="X221" i="24"/>
  <c r="W221" i="24"/>
  <c r="V221" i="24"/>
  <c r="U221" i="24"/>
  <c r="T221" i="24"/>
  <c r="S221" i="24"/>
  <c r="R221" i="24"/>
  <c r="Q221" i="24"/>
  <c r="C221" i="24"/>
  <c r="E220" i="24"/>
  <c r="D256" i="24" s="1"/>
  <c r="D220" i="24"/>
  <c r="C256" i="24" s="1"/>
  <c r="B220" i="24"/>
  <c r="AF256" i="24" s="1"/>
  <c r="D219" i="24"/>
  <c r="E219" i="24" s="1"/>
  <c r="F219" i="24" s="1"/>
  <c r="G219" i="24" s="1"/>
  <c r="H219" i="24" s="1"/>
  <c r="I219" i="24" s="1"/>
  <c r="J219" i="24" s="1"/>
  <c r="K219" i="24" s="1"/>
  <c r="L219" i="24" s="1"/>
  <c r="M219" i="24" s="1"/>
  <c r="N219" i="24" s="1"/>
  <c r="O219" i="24" s="1"/>
  <c r="P219" i="24" s="1"/>
  <c r="B219" i="24"/>
  <c r="E218" i="24"/>
  <c r="F218" i="24" s="1"/>
  <c r="G218" i="24" s="1"/>
  <c r="H218" i="24" s="1"/>
  <c r="I218" i="24" s="1"/>
  <c r="J218" i="24" s="1"/>
  <c r="K218" i="24" s="1"/>
  <c r="L218" i="24" s="1"/>
  <c r="M218" i="24" s="1"/>
  <c r="N218" i="24" s="1"/>
  <c r="O218" i="24" s="1"/>
  <c r="P218" i="24" s="1"/>
  <c r="D218" i="24"/>
  <c r="B218" i="24"/>
  <c r="D217" i="24"/>
  <c r="D221" i="24" s="1"/>
  <c r="B217" i="24"/>
  <c r="E216" i="24"/>
  <c r="F216" i="24" s="1"/>
  <c r="G216" i="24" s="1"/>
  <c r="H216" i="24" s="1"/>
  <c r="I216" i="24" s="1"/>
  <c r="J216" i="24" s="1"/>
  <c r="K216" i="24" s="1"/>
  <c r="L216" i="24" s="1"/>
  <c r="M216" i="24" s="1"/>
  <c r="N216" i="24" s="1"/>
  <c r="O216" i="24" s="1"/>
  <c r="P216" i="24" s="1"/>
  <c r="D216" i="24"/>
  <c r="B216" i="24"/>
  <c r="D215" i="24"/>
  <c r="E215" i="24" s="1"/>
  <c r="B215" i="24"/>
  <c r="B221" i="24" s="1"/>
  <c r="AG213" i="24"/>
  <c r="AF213" i="24"/>
  <c r="AE213" i="24"/>
  <c r="AD213" i="24"/>
  <c r="AC213" i="24"/>
  <c r="AB213" i="24"/>
  <c r="AA213" i="24"/>
  <c r="Z213" i="24"/>
  <c r="Y213" i="24"/>
  <c r="X213" i="24"/>
  <c r="W213" i="24"/>
  <c r="V213" i="24"/>
  <c r="U213" i="24"/>
  <c r="T213" i="24"/>
  <c r="S213" i="24"/>
  <c r="R213" i="24"/>
  <c r="Q213" i="24"/>
  <c r="P213" i="24"/>
  <c r="O213" i="24"/>
  <c r="N213" i="24"/>
  <c r="M213" i="24"/>
  <c r="L213" i="24"/>
  <c r="K213" i="24"/>
  <c r="J213" i="24"/>
  <c r="I213" i="24"/>
  <c r="H213" i="24"/>
  <c r="G213" i="24"/>
  <c r="F213" i="24"/>
  <c r="E213" i="24"/>
  <c r="D213" i="24"/>
  <c r="C213" i="24"/>
  <c r="B213" i="24"/>
  <c r="AH106" i="24"/>
  <c r="AI106" i="24" s="1"/>
  <c r="AH105" i="24"/>
  <c r="AI105" i="24" s="1"/>
  <c r="AH104" i="24"/>
  <c r="AI104" i="24" s="1"/>
  <c r="AH103" i="24"/>
  <c r="AI103" i="24" s="1"/>
  <c r="AH102" i="24"/>
  <c r="AI102" i="24" s="1"/>
  <c r="AH101" i="24"/>
  <c r="AI101" i="24" s="1"/>
  <c r="AH100" i="24"/>
  <c r="AI100" i="24" s="1"/>
  <c r="AH99" i="24"/>
  <c r="AI99" i="24" s="1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D98" i="24"/>
  <c r="C98" i="24"/>
  <c r="AI97" i="24"/>
  <c r="AH97" i="24"/>
  <c r="AI96" i="24"/>
  <c r="AH96" i="24"/>
  <c r="AI95" i="24"/>
  <c r="AH95" i="24"/>
  <c r="AI94" i="24"/>
  <c r="AH94" i="24"/>
  <c r="AI93" i="24"/>
  <c r="AH93" i="24"/>
  <c r="AI92" i="24"/>
  <c r="AH92" i="24"/>
  <c r="AI91" i="24"/>
  <c r="AH91" i="24"/>
  <c r="AI90" i="24"/>
  <c r="AH90" i="24"/>
  <c r="AI89" i="24"/>
  <c r="AH89" i="24"/>
  <c r="AI86" i="24"/>
  <c r="AH86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AF81" i="24"/>
  <c r="AF87" i="24" s="1"/>
  <c r="AE81" i="24"/>
  <c r="AD81" i="24"/>
  <c r="AC81" i="24"/>
  <c r="AB81" i="24"/>
  <c r="AA81" i="24"/>
  <c r="Z81" i="24"/>
  <c r="Y81" i="24"/>
  <c r="Y87" i="24" s="1"/>
  <c r="X81" i="24"/>
  <c r="X87" i="24" s="1"/>
  <c r="W81" i="24"/>
  <c r="V81" i="24"/>
  <c r="U81" i="24"/>
  <c r="T81" i="24"/>
  <c r="S81" i="24"/>
  <c r="R81" i="24"/>
  <c r="Q81" i="24"/>
  <c r="Q87" i="24" s="1"/>
  <c r="P81" i="24"/>
  <c r="P87" i="24" s="1"/>
  <c r="O81" i="24"/>
  <c r="N81" i="24"/>
  <c r="M81" i="24"/>
  <c r="L81" i="24"/>
  <c r="K81" i="24"/>
  <c r="J81" i="24"/>
  <c r="I81" i="24"/>
  <c r="H81" i="24"/>
  <c r="G81" i="24"/>
  <c r="F81" i="24"/>
  <c r="E81" i="24"/>
  <c r="E87" i="24" s="1"/>
  <c r="D81" i="24"/>
  <c r="C81" i="24"/>
  <c r="AI78" i="24"/>
  <c r="AH78" i="24"/>
  <c r="AI76" i="24"/>
  <c r="AH76" i="24"/>
  <c r="AG76" i="24"/>
  <c r="AI75" i="24"/>
  <c r="AH75" i="24"/>
  <c r="AI74" i="24"/>
  <c r="AH74" i="24"/>
  <c r="AI73" i="24"/>
  <c r="AH73" i="24"/>
  <c r="AG72" i="24"/>
  <c r="AF72" i="24"/>
  <c r="AE5" i="24" s="1"/>
  <c r="AE72" i="24"/>
  <c r="AD5" i="24" s="1"/>
  <c r="AD72" i="24"/>
  <c r="AC72" i="24"/>
  <c r="AB5" i="24" s="1"/>
  <c r="AB72" i="24"/>
  <c r="AA72" i="24"/>
  <c r="Z72" i="24"/>
  <c r="Y72" i="24"/>
  <c r="X5" i="24" s="1"/>
  <c r="X72" i="24"/>
  <c r="W5" i="24" s="1"/>
  <c r="W72" i="24"/>
  <c r="V5" i="24" s="1"/>
  <c r="V72" i="24"/>
  <c r="U72" i="24"/>
  <c r="T5" i="24" s="1"/>
  <c r="T72" i="24"/>
  <c r="S72" i="24"/>
  <c r="R5" i="24" s="1"/>
  <c r="R72" i="24"/>
  <c r="Q5" i="24" s="1"/>
  <c r="Q72" i="24"/>
  <c r="P5" i="24" s="1"/>
  <c r="P72" i="24"/>
  <c r="O5" i="24" s="1"/>
  <c r="O72" i="24"/>
  <c r="N5" i="24" s="1"/>
  <c r="N72" i="24"/>
  <c r="M72" i="24"/>
  <c r="L5" i="24" s="1"/>
  <c r="L72" i="24"/>
  <c r="K72" i="24"/>
  <c r="J72" i="24"/>
  <c r="I72" i="24"/>
  <c r="H5" i="24" s="1"/>
  <c r="H72" i="24"/>
  <c r="G5" i="24" s="1"/>
  <c r="G72" i="24"/>
  <c r="F5" i="24" s="1"/>
  <c r="F72" i="24"/>
  <c r="E72" i="24"/>
  <c r="D5" i="24" s="1"/>
  <c r="D72" i="24"/>
  <c r="C72" i="24"/>
  <c r="B5" i="24" s="1"/>
  <c r="AI71" i="24"/>
  <c r="AH71" i="24"/>
  <c r="AI70" i="24"/>
  <c r="AH70" i="24"/>
  <c r="AI69" i="24"/>
  <c r="AH69" i="24"/>
  <c r="AI68" i="24"/>
  <c r="AH68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G60" i="24"/>
  <c r="AF60" i="24"/>
  <c r="AE60" i="24"/>
  <c r="AD60" i="24"/>
  <c r="AC60" i="24"/>
  <c r="AB60" i="24"/>
  <c r="AA60" i="24"/>
  <c r="Z60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AI59" i="24"/>
  <c r="AH59" i="24"/>
  <c r="AI58" i="24"/>
  <c r="AH58" i="24"/>
  <c r="AI57" i="24"/>
  <c r="AH57" i="24"/>
  <c r="AF56" i="24"/>
  <c r="AE56" i="24"/>
  <c r="AD56" i="24"/>
  <c r="AC56" i="24"/>
  <c r="AB56" i="24"/>
  <c r="AA56" i="24"/>
  <c r="Z56" i="24"/>
  <c r="Y56" i="24"/>
  <c r="X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AI55" i="24"/>
  <c r="AH55" i="24"/>
  <c r="AG55" i="24"/>
  <c r="AG56" i="24" s="1"/>
  <c r="AG3" i="24" s="1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AI41" i="24"/>
  <c r="AH41" i="24"/>
  <c r="AI40" i="24"/>
  <c r="AH40" i="24"/>
  <c r="AI39" i="24"/>
  <c r="AH39" i="24"/>
  <c r="AG38" i="24"/>
  <c r="AF38" i="24"/>
  <c r="AE38" i="24"/>
  <c r="AD38" i="24"/>
  <c r="AD77" i="24" s="1"/>
  <c r="AD79" i="24" s="1"/>
  <c r="AC38" i="24"/>
  <c r="AB38" i="24"/>
  <c r="AA38" i="24"/>
  <c r="Z38" i="24"/>
  <c r="Y38" i="24"/>
  <c r="X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A5" i="24"/>
  <c r="AG4" i="24"/>
  <c r="K4" i="24"/>
  <c r="B4" i="24"/>
  <c r="S232" i="24" s="1"/>
  <c r="AG2" i="24"/>
  <c r="AF37" i="23"/>
  <c r="AD37" i="23"/>
  <c r="AC37" i="23"/>
  <c r="AB37" i="23"/>
  <c r="AA99" i="23"/>
  <c r="Y99" i="23"/>
  <c r="W100" i="23"/>
  <c r="W99" i="23"/>
  <c r="T99" i="23"/>
  <c r="T100" i="23"/>
  <c r="S100" i="23"/>
  <c r="S99" i="23"/>
  <c r="S38" i="23"/>
  <c r="Q37" i="23"/>
  <c r="P37" i="23"/>
  <c r="E4" i="24"/>
  <c r="AF77" i="24" l="1"/>
  <c r="AF79" i="24" s="1"/>
  <c r="AE87" i="24"/>
  <c r="AE77" i="24"/>
  <c r="AE79" i="24" s="1"/>
  <c r="AD87" i="24"/>
  <c r="AD88" i="24" s="1"/>
  <c r="AC5" i="24"/>
  <c r="AC87" i="24"/>
  <c r="AC77" i="24"/>
  <c r="AC79" i="24" s="1"/>
  <c r="AB87" i="24"/>
  <c r="AB88" i="24"/>
  <c r="AB77" i="24"/>
  <c r="AB79" i="24" s="1"/>
  <c r="AA87" i="24"/>
  <c r="AA88" i="24" s="1"/>
  <c r="Z5" i="24"/>
  <c r="AA77" i="24"/>
  <c r="AA79" i="24" s="1"/>
  <c r="Z87" i="24"/>
  <c r="Z88" i="24" s="1"/>
  <c r="Y5" i="24"/>
  <c r="Z77" i="24"/>
  <c r="Z79" i="24" s="1"/>
  <c r="Y77" i="24"/>
  <c r="Y79" i="24" s="1"/>
  <c r="X77" i="24"/>
  <c r="X79" i="24" s="1"/>
  <c r="W87" i="24"/>
  <c r="W77" i="24"/>
  <c r="W79" i="24" s="1"/>
  <c r="V87" i="24"/>
  <c r="V88" i="24" s="1"/>
  <c r="U5" i="24"/>
  <c r="V77" i="24"/>
  <c r="V79" i="24" s="1"/>
  <c r="U87" i="24"/>
  <c r="U77" i="24"/>
  <c r="U79" i="24" s="1"/>
  <c r="T87" i="24"/>
  <c r="T88" i="24" s="1"/>
  <c r="S5" i="24"/>
  <c r="T77" i="24"/>
  <c r="T79" i="24" s="1"/>
  <c r="AI82" i="24"/>
  <c r="S87" i="24"/>
  <c r="S88" i="24"/>
  <c r="S77" i="24"/>
  <c r="S79" i="24" s="1"/>
  <c r="S80" i="24" s="1"/>
  <c r="R77" i="24"/>
  <c r="R79" i="24" s="1"/>
  <c r="R87" i="24"/>
  <c r="R88" i="24" s="1"/>
  <c r="O87" i="24"/>
  <c r="N77" i="24"/>
  <c r="N79" i="24" s="1"/>
  <c r="N87" i="24"/>
  <c r="N88" i="24" s="1"/>
  <c r="M5" i="24"/>
  <c r="O77" i="24"/>
  <c r="O79" i="24" s="1"/>
  <c r="M87" i="24"/>
  <c r="L77" i="24"/>
  <c r="L79" i="24" s="1"/>
  <c r="L87" i="24"/>
  <c r="L88" i="24" s="1"/>
  <c r="K5" i="24"/>
  <c r="M77" i="24"/>
  <c r="M79" i="24" s="1"/>
  <c r="M80" i="24" s="1"/>
  <c r="P77" i="24"/>
  <c r="P79" i="24" s="1"/>
  <c r="P80" i="24" s="1"/>
  <c r="Q77" i="24"/>
  <c r="Q79" i="24" s="1"/>
  <c r="Q80" i="24" s="1"/>
  <c r="K87" i="24"/>
  <c r="K88" i="24"/>
  <c r="K77" i="24"/>
  <c r="K79" i="24" s="1"/>
  <c r="AC235" i="24" s="1"/>
  <c r="J5" i="24"/>
  <c r="J77" i="24"/>
  <c r="J79" i="24" s="1"/>
  <c r="J87" i="24"/>
  <c r="J88" i="24" s="1"/>
  <c r="I5" i="24"/>
  <c r="AI81" i="24"/>
  <c r="I87" i="24"/>
  <c r="I88" i="24" s="1"/>
  <c r="I77" i="24"/>
  <c r="I79" i="24" s="1"/>
  <c r="AA235" i="24" s="1"/>
  <c r="AH42" i="24"/>
  <c r="H87" i="24"/>
  <c r="AI60" i="24"/>
  <c r="H77" i="24"/>
  <c r="H79" i="24" s="1"/>
  <c r="G87" i="24"/>
  <c r="G77" i="24"/>
  <c r="G79" i="24" s="1"/>
  <c r="AH84" i="24"/>
  <c r="E5" i="24"/>
  <c r="F87" i="24"/>
  <c r="F88" i="24" s="1"/>
  <c r="F77" i="24"/>
  <c r="F79" i="24" s="1"/>
  <c r="X235" i="24" s="1"/>
  <c r="E77" i="24"/>
  <c r="E79" i="24" s="1"/>
  <c r="E80" i="24" s="1"/>
  <c r="AI56" i="24"/>
  <c r="AI83" i="24"/>
  <c r="D87" i="24"/>
  <c r="D88" i="24" s="1"/>
  <c r="C5" i="24"/>
  <c r="D77" i="24"/>
  <c r="D79" i="24" s="1"/>
  <c r="D80" i="24" s="1"/>
  <c r="AH82" i="24"/>
  <c r="C87" i="24"/>
  <c r="C88" i="24" s="1"/>
  <c r="C77" i="24"/>
  <c r="C79" i="24" s="1"/>
  <c r="C80" i="24" s="1"/>
  <c r="AI85" i="24"/>
  <c r="B77" i="24"/>
  <c r="B79" i="24" s="1"/>
  <c r="B80" i="24"/>
  <c r="B88" i="24"/>
  <c r="H4" i="24"/>
  <c r="AO235" i="24"/>
  <c r="W7" i="24"/>
  <c r="W80" i="24"/>
  <c r="AF235" i="24"/>
  <c r="N7" i="24"/>
  <c r="N80" i="24"/>
  <c r="AN235" i="24"/>
  <c r="V7" i="24"/>
  <c r="V80" i="24"/>
  <c r="AV235" i="24"/>
  <c r="AD7" i="24"/>
  <c r="AD80" i="24"/>
  <c r="Y235" i="24"/>
  <c r="G7" i="24"/>
  <c r="G80" i="24"/>
  <c r="X80" i="24"/>
  <c r="AP235" i="24"/>
  <c r="X7" i="24"/>
  <c r="AW235" i="24"/>
  <c r="AE7" i="24"/>
  <c r="AE80" i="24"/>
  <c r="AF80" i="24"/>
  <c r="AX235" i="24"/>
  <c r="AF7" i="24"/>
  <c r="AG6" i="24"/>
  <c r="AI235" i="24"/>
  <c r="Q7" i="24"/>
  <c r="Y80" i="24"/>
  <c r="AQ235" i="24"/>
  <c r="Y7" i="24"/>
  <c r="AG77" i="24"/>
  <c r="E88" i="24"/>
  <c r="M88" i="24"/>
  <c r="U88" i="24"/>
  <c r="AC88" i="24"/>
  <c r="R80" i="24"/>
  <c r="AJ235" i="24"/>
  <c r="R7" i="24"/>
  <c r="Z80" i="24"/>
  <c r="AR235" i="24"/>
  <c r="Z7" i="24"/>
  <c r="K80" i="24"/>
  <c r="AK235" i="24"/>
  <c r="AA80" i="24"/>
  <c r="AS235" i="24"/>
  <c r="AA7" i="24"/>
  <c r="G88" i="24"/>
  <c r="O88" i="24"/>
  <c r="W88" i="24"/>
  <c r="AE88" i="24"/>
  <c r="J80" i="24"/>
  <c r="AB235" i="24"/>
  <c r="J7" i="24"/>
  <c r="L80" i="24"/>
  <c r="AD235" i="24"/>
  <c r="L7" i="24"/>
  <c r="AB80" i="24"/>
  <c r="AT235" i="24"/>
  <c r="AB7" i="24"/>
  <c r="H88" i="24"/>
  <c r="P88" i="24"/>
  <c r="X88" i="24"/>
  <c r="AF88" i="24"/>
  <c r="AG79" i="24"/>
  <c r="F215" i="24"/>
  <c r="E98" i="24"/>
  <c r="AG235" i="24"/>
  <c r="O7" i="24"/>
  <c r="O80" i="24"/>
  <c r="T80" i="24"/>
  <c r="AL235" i="24"/>
  <c r="T7" i="24"/>
  <c r="E7" i="24"/>
  <c r="AM235" i="24"/>
  <c r="U7" i="24"/>
  <c r="U80" i="24"/>
  <c r="AU235" i="24"/>
  <c r="AC7" i="24"/>
  <c r="AC80" i="24"/>
  <c r="Q88" i="24"/>
  <c r="Y88" i="24"/>
  <c r="AI38" i="24"/>
  <c r="AI42" i="24"/>
  <c r="AI84" i="24"/>
  <c r="AH85" i="24"/>
  <c r="D232" i="24"/>
  <c r="F220" i="24"/>
  <c r="AH56" i="24"/>
  <c r="AH60" i="24"/>
  <c r="AH72" i="24"/>
  <c r="AH81" i="24"/>
  <c r="AI72" i="24"/>
  <c r="AH83" i="24"/>
  <c r="AH38" i="24"/>
  <c r="E217" i="24"/>
  <c r="F217" i="24" s="1"/>
  <c r="G217" i="24" s="1"/>
  <c r="H217" i="24" s="1"/>
  <c r="I217" i="24" s="1"/>
  <c r="J217" i="24" s="1"/>
  <c r="K217" i="24" s="1"/>
  <c r="L217" i="24" s="1"/>
  <c r="M217" i="24" s="1"/>
  <c r="N217" i="24" s="1"/>
  <c r="O217" i="24" s="1"/>
  <c r="P217" i="24" s="1"/>
  <c r="S7" i="24" l="1"/>
  <c r="AH235" i="24"/>
  <c r="P7" i="24"/>
  <c r="AE235" i="24"/>
  <c r="M7" i="24"/>
  <c r="K7" i="24"/>
  <c r="F80" i="24"/>
  <c r="F7" i="24"/>
  <c r="B230" i="24"/>
  <c r="I80" i="24"/>
  <c r="AH80" i="24" s="1"/>
  <c r="I7" i="24"/>
  <c r="Z235" i="24"/>
  <c r="H7" i="24"/>
  <c r="C230" i="24"/>
  <c r="H80" i="24"/>
  <c r="W235" i="24"/>
  <c r="D7" i="24"/>
  <c r="V235" i="24"/>
  <c r="U235" i="24"/>
  <c r="C7" i="24"/>
  <c r="AI77" i="24"/>
  <c r="AH77" i="24"/>
  <c r="E256" i="24"/>
  <c r="G220" i="24"/>
  <c r="AI79" i="24"/>
  <c r="AH79" i="24"/>
  <c r="T235" i="24"/>
  <c r="B7" i="24"/>
  <c r="A7" i="24" s="1"/>
  <c r="E221" i="24"/>
  <c r="AI87" i="24"/>
  <c r="AH87" i="24"/>
  <c r="G215" i="24"/>
  <c r="F98" i="24"/>
  <c r="F221" i="24"/>
  <c r="K6" i="24" l="1"/>
  <c r="H215" i="24"/>
  <c r="G98" i="24"/>
  <c r="G221" i="24"/>
  <c r="AI88" i="24"/>
  <c r="AH88" i="24"/>
  <c r="F256" i="24"/>
  <c r="H220" i="24"/>
  <c r="G256" i="24" l="1"/>
  <c r="I220" i="24"/>
  <c r="I215" i="24"/>
  <c r="H98" i="24"/>
  <c r="H221" i="24"/>
  <c r="H256" i="24" l="1"/>
  <c r="J220" i="24"/>
  <c r="I98" i="24"/>
  <c r="I221" i="24"/>
  <c r="J215" i="24"/>
  <c r="J221" i="24" l="1"/>
  <c r="K215" i="24"/>
  <c r="J98" i="24"/>
  <c r="K220" i="24"/>
  <c r="I256" i="24"/>
  <c r="O37" i="23"/>
  <c r="N37" i="23"/>
  <c r="M37" i="23"/>
  <c r="L100" i="23"/>
  <c r="L37" i="23"/>
  <c r="K100" i="23"/>
  <c r="K37" i="23"/>
  <c r="AH37" i="23" s="1"/>
  <c r="J100" i="23"/>
  <c r="J63" i="23"/>
  <c r="J37" i="23"/>
  <c r="I100" i="23"/>
  <c r="I37" i="23"/>
  <c r="H100" i="23"/>
  <c r="H37" i="23"/>
  <c r="G100" i="23"/>
  <c r="F100" i="23"/>
  <c r="AH100" i="23"/>
  <c r="AI100" i="23" s="1"/>
  <c r="F37" i="23"/>
  <c r="G37" i="23"/>
  <c r="E100" i="23"/>
  <c r="E37" i="23"/>
  <c r="AF260" i="23"/>
  <c r="AE260" i="23"/>
  <c r="AD260" i="23"/>
  <c r="AC260" i="23"/>
  <c r="AB260" i="23"/>
  <c r="AA260" i="23"/>
  <c r="Z260" i="23"/>
  <c r="Y260" i="23"/>
  <c r="X260" i="23"/>
  <c r="W260" i="23"/>
  <c r="V260" i="23"/>
  <c r="U260" i="23"/>
  <c r="T260" i="23"/>
  <c r="S260" i="23"/>
  <c r="R260" i="23"/>
  <c r="Q260" i="23"/>
  <c r="P260" i="23"/>
  <c r="O260" i="23"/>
  <c r="N260" i="23"/>
  <c r="M260" i="23"/>
  <c r="L260" i="23"/>
  <c r="K260" i="23"/>
  <c r="J260" i="23"/>
  <c r="I260" i="23"/>
  <c r="H260" i="23"/>
  <c r="G260" i="23"/>
  <c r="F260" i="23"/>
  <c r="E260" i="23"/>
  <c r="D260" i="23"/>
  <c r="C260" i="23"/>
  <c r="B260" i="23"/>
  <c r="A260" i="23"/>
  <c r="AF259" i="23"/>
  <c r="AE259" i="23"/>
  <c r="AD259" i="23"/>
  <c r="AC259" i="23"/>
  <c r="AB259" i="23"/>
  <c r="AA259" i="23"/>
  <c r="Z259" i="23"/>
  <c r="Y259" i="23"/>
  <c r="X259" i="23"/>
  <c r="W259" i="23"/>
  <c r="V259" i="23"/>
  <c r="U259" i="23"/>
  <c r="T259" i="23"/>
  <c r="S259" i="23"/>
  <c r="R259" i="23"/>
  <c r="Q259" i="23"/>
  <c r="P259" i="23"/>
  <c r="O259" i="23"/>
  <c r="N259" i="23"/>
  <c r="M259" i="23"/>
  <c r="L259" i="23"/>
  <c r="K259" i="23"/>
  <c r="J259" i="23"/>
  <c r="I259" i="23"/>
  <c r="H259" i="23"/>
  <c r="G259" i="23"/>
  <c r="F259" i="23"/>
  <c r="E259" i="23"/>
  <c r="D259" i="23"/>
  <c r="C259" i="23"/>
  <c r="B259" i="23"/>
  <c r="A259" i="23"/>
  <c r="AF258" i="23"/>
  <c r="AE258" i="23"/>
  <c r="AD258" i="23"/>
  <c r="AC258" i="23"/>
  <c r="AB258" i="23"/>
  <c r="AA258" i="23"/>
  <c r="Z258" i="23"/>
  <c r="Y258" i="23"/>
  <c r="X258" i="23"/>
  <c r="W258" i="23"/>
  <c r="V258" i="23"/>
  <c r="U258" i="23"/>
  <c r="T258" i="23"/>
  <c r="S258" i="23"/>
  <c r="R258" i="23"/>
  <c r="Q258" i="23"/>
  <c r="P258" i="23"/>
  <c r="O258" i="23"/>
  <c r="N258" i="23"/>
  <c r="M258" i="23"/>
  <c r="L258" i="23"/>
  <c r="K258" i="23"/>
  <c r="J258" i="23"/>
  <c r="I258" i="23"/>
  <c r="H258" i="23"/>
  <c r="G258" i="23"/>
  <c r="F258" i="23"/>
  <c r="E258" i="23"/>
  <c r="D258" i="23"/>
  <c r="C258" i="23"/>
  <c r="B258" i="23"/>
  <c r="A258" i="23"/>
  <c r="AF257" i="23"/>
  <c r="AE257" i="23"/>
  <c r="AD257" i="23"/>
  <c r="AC257" i="23"/>
  <c r="AB257" i="23"/>
  <c r="AA257" i="23"/>
  <c r="Z257" i="23"/>
  <c r="Y257" i="23"/>
  <c r="X257" i="23"/>
  <c r="W257" i="23"/>
  <c r="V257" i="23"/>
  <c r="U257" i="23"/>
  <c r="T257" i="23"/>
  <c r="S257" i="23"/>
  <c r="R257" i="23"/>
  <c r="Q257" i="23"/>
  <c r="P257" i="23"/>
  <c r="O257" i="23"/>
  <c r="N257" i="23"/>
  <c r="M257" i="23"/>
  <c r="L257" i="23"/>
  <c r="K257" i="23"/>
  <c r="J257" i="23"/>
  <c r="I257" i="23"/>
  <c r="H257" i="23"/>
  <c r="G257" i="23"/>
  <c r="F257" i="23"/>
  <c r="E257" i="23"/>
  <c r="D257" i="23"/>
  <c r="C257" i="23"/>
  <c r="B257" i="23"/>
  <c r="A257" i="23"/>
  <c r="AE256" i="23"/>
  <c r="AD256" i="23"/>
  <c r="AC256" i="23"/>
  <c r="AB256" i="23"/>
  <c r="AA256" i="23"/>
  <c r="Z256" i="23"/>
  <c r="Y256" i="23"/>
  <c r="X256" i="23"/>
  <c r="W256" i="23"/>
  <c r="V256" i="23"/>
  <c r="U256" i="23"/>
  <c r="T256" i="23"/>
  <c r="S256" i="23"/>
  <c r="R256" i="23"/>
  <c r="Q256" i="23"/>
  <c r="P256" i="23"/>
  <c r="C256" i="23"/>
  <c r="B256" i="23"/>
  <c r="S231" i="23"/>
  <c r="AG221" i="23"/>
  <c r="AF221" i="23"/>
  <c r="AE221" i="23"/>
  <c r="AD221" i="23"/>
  <c r="AC221" i="23"/>
  <c r="AB221" i="23"/>
  <c r="AA221" i="23"/>
  <c r="Z221" i="23"/>
  <c r="Y221" i="23"/>
  <c r="X221" i="23"/>
  <c r="W221" i="23"/>
  <c r="V221" i="23"/>
  <c r="U221" i="23"/>
  <c r="T221" i="23"/>
  <c r="S221" i="23"/>
  <c r="R221" i="23"/>
  <c r="Q221" i="23"/>
  <c r="C221" i="23"/>
  <c r="F220" i="23"/>
  <c r="E256" i="23" s="1"/>
  <c r="E220" i="23"/>
  <c r="D256" i="23" s="1"/>
  <c r="D220" i="23"/>
  <c r="B220" i="23"/>
  <c r="AF256" i="23" s="1"/>
  <c r="D219" i="23"/>
  <c r="E219" i="23" s="1"/>
  <c r="F219" i="23" s="1"/>
  <c r="G219" i="23" s="1"/>
  <c r="H219" i="23" s="1"/>
  <c r="I219" i="23" s="1"/>
  <c r="J219" i="23" s="1"/>
  <c r="K219" i="23" s="1"/>
  <c r="L219" i="23" s="1"/>
  <c r="M219" i="23" s="1"/>
  <c r="N219" i="23" s="1"/>
  <c r="O219" i="23" s="1"/>
  <c r="P219" i="23" s="1"/>
  <c r="B219" i="23"/>
  <c r="F218" i="23"/>
  <c r="G218" i="23" s="1"/>
  <c r="H218" i="23" s="1"/>
  <c r="I218" i="23" s="1"/>
  <c r="J218" i="23" s="1"/>
  <c r="K218" i="23" s="1"/>
  <c r="L218" i="23" s="1"/>
  <c r="M218" i="23" s="1"/>
  <c r="N218" i="23" s="1"/>
  <c r="O218" i="23" s="1"/>
  <c r="P218" i="23" s="1"/>
  <c r="E218" i="23"/>
  <c r="D218" i="23"/>
  <c r="B218" i="23"/>
  <c r="D217" i="23"/>
  <c r="E217" i="23" s="1"/>
  <c r="F217" i="23" s="1"/>
  <c r="G217" i="23" s="1"/>
  <c r="H217" i="23" s="1"/>
  <c r="I217" i="23" s="1"/>
  <c r="J217" i="23" s="1"/>
  <c r="K217" i="23" s="1"/>
  <c r="L217" i="23" s="1"/>
  <c r="M217" i="23" s="1"/>
  <c r="N217" i="23" s="1"/>
  <c r="O217" i="23" s="1"/>
  <c r="P217" i="23" s="1"/>
  <c r="B217" i="23"/>
  <c r="B221" i="23" s="1"/>
  <c r="F216" i="23"/>
  <c r="G216" i="23" s="1"/>
  <c r="H216" i="23" s="1"/>
  <c r="I216" i="23" s="1"/>
  <c r="J216" i="23" s="1"/>
  <c r="K216" i="23" s="1"/>
  <c r="L216" i="23" s="1"/>
  <c r="M216" i="23" s="1"/>
  <c r="N216" i="23" s="1"/>
  <c r="O216" i="23" s="1"/>
  <c r="P216" i="23" s="1"/>
  <c r="E216" i="23"/>
  <c r="D216" i="23"/>
  <c r="B216" i="23"/>
  <c r="D215" i="23"/>
  <c r="D221" i="23" s="1"/>
  <c r="B215" i="23"/>
  <c r="AG213" i="23"/>
  <c r="AF213" i="23"/>
  <c r="AE213" i="23"/>
  <c r="AD213" i="23"/>
  <c r="AC213" i="23"/>
  <c r="AB213" i="23"/>
  <c r="AA213" i="23"/>
  <c r="Z213" i="23"/>
  <c r="Y213" i="23"/>
  <c r="X213" i="23"/>
  <c r="W213" i="23"/>
  <c r="V213" i="23"/>
  <c r="U213" i="23"/>
  <c r="T213" i="23"/>
  <c r="S213" i="23"/>
  <c r="R213" i="23"/>
  <c r="Q213" i="23"/>
  <c r="P213" i="23"/>
  <c r="O213" i="23"/>
  <c r="N213" i="23"/>
  <c r="M213" i="23"/>
  <c r="L213" i="23"/>
  <c r="K213" i="23"/>
  <c r="J213" i="23"/>
  <c r="I213" i="23"/>
  <c r="H213" i="23"/>
  <c r="G213" i="23"/>
  <c r="F213" i="23"/>
  <c r="E213" i="23"/>
  <c r="D213" i="23"/>
  <c r="C213" i="23"/>
  <c r="B213" i="23"/>
  <c r="AH106" i="23"/>
  <c r="AI106" i="23" s="1"/>
  <c r="AH105" i="23"/>
  <c r="AI105" i="23" s="1"/>
  <c r="AH104" i="23"/>
  <c r="AI104" i="23" s="1"/>
  <c r="AH103" i="23"/>
  <c r="AI103" i="23" s="1"/>
  <c r="AH102" i="23"/>
  <c r="AI102" i="23" s="1"/>
  <c r="AH101" i="23"/>
  <c r="AI101" i="23" s="1"/>
  <c r="AH99" i="23"/>
  <c r="AI99" i="23" s="1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D98" i="23"/>
  <c r="C98" i="23"/>
  <c r="B98" i="23"/>
  <c r="AI97" i="23"/>
  <c r="AH97" i="23"/>
  <c r="AI96" i="23"/>
  <c r="AH96" i="23"/>
  <c r="AI95" i="23"/>
  <c r="AH95" i="23"/>
  <c r="AI94" i="23"/>
  <c r="AH94" i="23"/>
  <c r="AI93" i="23"/>
  <c r="AH93" i="23"/>
  <c r="AI92" i="23"/>
  <c r="AH92" i="23"/>
  <c r="AI91" i="23"/>
  <c r="AH91" i="23"/>
  <c r="AI90" i="23"/>
  <c r="AH90" i="23"/>
  <c r="AI89" i="23"/>
  <c r="AH89" i="23"/>
  <c r="AI86" i="23"/>
  <c r="AH86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AF82" i="23"/>
  <c r="AE82" i="23"/>
  <c r="AD82" i="23"/>
  <c r="AC82" i="23"/>
  <c r="AB82" i="23"/>
  <c r="AA82" i="23"/>
  <c r="Z82" i="23"/>
  <c r="Y82" i="23"/>
  <c r="X82" i="23"/>
  <c r="X87" i="23" s="1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AF81" i="23"/>
  <c r="AE81" i="23"/>
  <c r="AD81" i="23"/>
  <c r="AC81" i="23"/>
  <c r="AC87" i="23" s="1"/>
  <c r="AB81" i="23"/>
  <c r="AA81" i="23"/>
  <c r="Z81" i="23"/>
  <c r="Y81" i="23"/>
  <c r="X81" i="23"/>
  <c r="W81" i="23"/>
  <c r="V81" i="23"/>
  <c r="U81" i="23"/>
  <c r="U87" i="23" s="1"/>
  <c r="T81" i="23"/>
  <c r="S81" i="23"/>
  <c r="R81" i="23"/>
  <c r="Q81" i="23"/>
  <c r="P81" i="23"/>
  <c r="O81" i="23"/>
  <c r="O87" i="23" s="1"/>
  <c r="N81" i="23"/>
  <c r="M81" i="23"/>
  <c r="L81" i="23"/>
  <c r="K81" i="23"/>
  <c r="J81" i="23"/>
  <c r="I81" i="23"/>
  <c r="H81" i="23"/>
  <c r="G81" i="23"/>
  <c r="F81" i="23"/>
  <c r="E81" i="23"/>
  <c r="D81" i="23"/>
  <c r="C81" i="23"/>
  <c r="B81" i="23"/>
  <c r="AI78" i="23"/>
  <c r="AH78" i="23"/>
  <c r="AI76" i="23"/>
  <c r="AH76" i="23"/>
  <c r="AG76" i="23"/>
  <c r="AI75" i="23"/>
  <c r="AH75" i="23"/>
  <c r="AI74" i="23"/>
  <c r="AH74" i="23"/>
  <c r="AI73" i="23"/>
  <c r="AH73" i="23"/>
  <c r="AG72" i="23"/>
  <c r="AF72" i="23"/>
  <c r="AE5" i="23" s="1"/>
  <c r="AE72" i="23"/>
  <c r="AD72" i="23"/>
  <c r="AC72" i="23"/>
  <c r="AB5" i="23" s="1"/>
  <c r="AB72" i="23"/>
  <c r="AA5" i="23" s="1"/>
  <c r="AA72" i="23"/>
  <c r="Z5" i="23" s="1"/>
  <c r="Z72" i="23"/>
  <c r="Y5" i="23" s="1"/>
  <c r="Y72" i="23"/>
  <c r="X5" i="23" s="1"/>
  <c r="X72" i="23"/>
  <c r="W5" i="23" s="1"/>
  <c r="W72" i="23"/>
  <c r="V5" i="23" s="1"/>
  <c r="V72" i="23"/>
  <c r="U72" i="23"/>
  <c r="T5" i="23" s="1"/>
  <c r="T72" i="23"/>
  <c r="S5" i="23" s="1"/>
  <c r="S72" i="23"/>
  <c r="R5" i="23" s="1"/>
  <c r="R72" i="23"/>
  <c r="Q72" i="23"/>
  <c r="P5" i="23" s="1"/>
  <c r="P72" i="23"/>
  <c r="O5" i="23" s="1"/>
  <c r="O72" i="23"/>
  <c r="N72" i="23"/>
  <c r="M5" i="23" s="1"/>
  <c r="M72" i="23"/>
  <c r="L5" i="23" s="1"/>
  <c r="L72" i="23"/>
  <c r="K5" i="23" s="1"/>
  <c r="K72" i="23"/>
  <c r="J5" i="23" s="1"/>
  <c r="J72" i="23"/>
  <c r="I72" i="23"/>
  <c r="H72" i="23"/>
  <c r="G5" i="23" s="1"/>
  <c r="G72" i="23"/>
  <c r="F5" i="23" s="1"/>
  <c r="F72" i="23"/>
  <c r="E5" i="23" s="1"/>
  <c r="E72" i="23"/>
  <c r="D5" i="23" s="1"/>
  <c r="D72" i="23"/>
  <c r="C5" i="23" s="1"/>
  <c r="C72" i="23"/>
  <c r="B5" i="23" s="1"/>
  <c r="B72" i="23"/>
  <c r="AF5" i="23" s="1"/>
  <c r="AI71" i="23"/>
  <c r="AH71" i="23"/>
  <c r="AI70" i="23"/>
  <c r="AH70" i="23"/>
  <c r="AI69" i="23"/>
  <c r="AH69" i="23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G60" i="23"/>
  <c r="AF60" i="23"/>
  <c r="AE60" i="23"/>
  <c r="AD60" i="23"/>
  <c r="AC60" i="23"/>
  <c r="AB60" i="23"/>
  <c r="AA60" i="23"/>
  <c r="Z60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AI59" i="23"/>
  <c r="AH59" i="23"/>
  <c r="AI58" i="23"/>
  <c r="AH58" i="23"/>
  <c r="AI57" i="23"/>
  <c r="AH57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S77" i="23" s="1"/>
  <c r="S79" i="23" s="1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G55" i="23"/>
  <c r="AG56" i="23" s="1"/>
  <c r="AG3" i="23" s="1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AI41" i="23"/>
  <c r="AH41" i="23"/>
  <c r="AI40" i="23"/>
  <c r="AH40" i="23"/>
  <c r="AI39" i="23"/>
  <c r="AH39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T77" i="23" s="1"/>
  <c r="T79" i="23" s="1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C5" i="23"/>
  <c r="U5" i="23"/>
  <c r="N5" i="23"/>
  <c r="H5" i="23"/>
  <c r="AG4" i="23"/>
  <c r="K4" i="23"/>
  <c r="B4" i="23"/>
  <c r="S232" i="23" s="1"/>
  <c r="AG2" i="23"/>
  <c r="AG6" i="23" s="1"/>
  <c r="AF38" i="4"/>
  <c r="AB100" i="4"/>
  <c r="W99" i="4"/>
  <c r="W100" i="4"/>
  <c r="V100" i="4"/>
  <c r="V99" i="4"/>
  <c r="U99" i="4"/>
  <c r="R72" i="4"/>
  <c r="R37" i="4"/>
  <c r="Q37" i="4"/>
  <c r="P37" i="4"/>
  <c r="O37" i="4"/>
  <c r="N37" i="4"/>
  <c r="M37" i="4"/>
  <c r="L100" i="4"/>
  <c r="L37" i="4"/>
  <c r="K100" i="4"/>
  <c r="K37" i="4"/>
  <c r="J100" i="4"/>
  <c r="J37" i="4"/>
  <c r="I100" i="4"/>
  <c r="I37" i="4"/>
  <c r="H100" i="4"/>
  <c r="H37" i="4"/>
  <c r="G100" i="4"/>
  <c r="G37" i="4"/>
  <c r="F100" i="4"/>
  <c r="F37" i="4"/>
  <c r="E4" i="23"/>
  <c r="J256" i="24" l="1"/>
  <c r="L220" i="24"/>
  <c r="K221" i="24"/>
  <c r="L215" i="24"/>
  <c r="K98" i="24"/>
  <c r="AE87" i="23"/>
  <c r="AF87" i="23"/>
  <c r="AE88" i="23"/>
  <c r="AD5" i="23"/>
  <c r="AF77" i="23"/>
  <c r="AF79" i="23" s="1"/>
  <c r="AE77" i="23"/>
  <c r="AE79" i="23" s="1"/>
  <c r="AW235" i="23" s="1"/>
  <c r="AD87" i="23"/>
  <c r="AD88" i="23" s="1"/>
  <c r="AD77" i="23"/>
  <c r="AD79" i="23" s="1"/>
  <c r="AC77" i="23"/>
  <c r="AC79" i="23" s="1"/>
  <c r="AB77" i="23"/>
  <c r="AB79" i="23" s="1"/>
  <c r="AB87" i="23"/>
  <c r="Z87" i="23"/>
  <c r="AA87" i="23"/>
  <c r="Z88" i="23"/>
  <c r="AA77" i="23"/>
  <c r="AA79" i="23" s="1"/>
  <c r="Z77" i="23"/>
  <c r="Z79" i="23" s="1"/>
  <c r="Y87" i="23"/>
  <c r="Y77" i="23"/>
  <c r="Y79" i="23" s="1"/>
  <c r="X77" i="23"/>
  <c r="X79" i="23" s="1"/>
  <c r="W87" i="23"/>
  <c r="W88" i="23" s="1"/>
  <c r="W77" i="23"/>
  <c r="W79" i="23" s="1"/>
  <c r="V87" i="23"/>
  <c r="V88" i="23" s="1"/>
  <c r="U77" i="23"/>
  <c r="U79" i="23" s="1"/>
  <c r="V77" i="23"/>
  <c r="V79" i="23" s="1"/>
  <c r="T87" i="23"/>
  <c r="S87" i="23"/>
  <c r="R87" i="23"/>
  <c r="R88" i="23" s="1"/>
  <c r="Q87" i="23"/>
  <c r="P87" i="23"/>
  <c r="Q5" i="23"/>
  <c r="P77" i="23"/>
  <c r="P79" i="23" s="1"/>
  <c r="Q77" i="23"/>
  <c r="Q79" i="23" s="1"/>
  <c r="Q80" i="23" s="1"/>
  <c r="R77" i="23"/>
  <c r="R79" i="23" s="1"/>
  <c r="O88" i="23"/>
  <c r="O77" i="23"/>
  <c r="O79" i="23" s="1"/>
  <c r="AG235" i="23" s="1"/>
  <c r="N87" i="23"/>
  <c r="N88" i="23" s="1"/>
  <c r="N77" i="23"/>
  <c r="N79" i="23" s="1"/>
  <c r="M87" i="23"/>
  <c r="M77" i="23"/>
  <c r="M79" i="23" s="1"/>
  <c r="AE235" i="23" s="1"/>
  <c r="L87" i="23"/>
  <c r="L77" i="23"/>
  <c r="L79" i="23" s="1"/>
  <c r="L80" i="23" s="1"/>
  <c r="K87" i="23"/>
  <c r="K88" i="23" s="1"/>
  <c r="K77" i="23"/>
  <c r="K79" i="23" s="1"/>
  <c r="K7" i="23" s="1"/>
  <c r="I5" i="23"/>
  <c r="J87" i="23"/>
  <c r="J88" i="23" s="1"/>
  <c r="J77" i="23"/>
  <c r="J79" i="23" s="1"/>
  <c r="J7" i="23" s="1"/>
  <c r="AI83" i="23"/>
  <c r="I87" i="23"/>
  <c r="I88" i="23" s="1"/>
  <c r="I77" i="23"/>
  <c r="I79" i="23" s="1"/>
  <c r="I7" i="23" s="1"/>
  <c r="AI37" i="23"/>
  <c r="H87" i="23"/>
  <c r="AI82" i="23"/>
  <c r="AI60" i="23"/>
  <c r="H77" i="23"/>
  <c r="H79" i="23" s="1"/>
  <c r="H80" i="23" s="1"/>
  <c r="F87" i="23"/>
  <c r="F88" i="23" s="1"/>
  <c r="AI85" i="23"/>
  <c r="G87" i="23"/>
  <c r="G88" i="23" s="1"/>
  <c r="G77" i="23"/>
  <c r="G79" i="23" s="1"/>
  <c r="Y235" i="23" s="1"/>
  <c r="F77" i="23"/>
  <c r="F79" i="23" s="1"/>
  <c r="F80" i="23" s="1"/>
  <c r="E87" i="23"/>
  <c r="E77" i="23"/>
  <c r="E79" i="23" s="1"/>
  <c r="W235" i="23" s="1"/>
  <c r="AH42" i="23"/>
  <c r="AI56" i="23"/>
  <c r="D87" i="23"/>
  <c r="D77" i="23"/>
  <c r="D79" i="23" s="1"/>
  <c r="D80" i="23" s="1"/>
  <c r="AI81" i="23"/>
  <c r="C87" i="23"/>
  <c r="AH84" i="23"/>
  <c r="C77" i="23"/>
  <c r="C79" i="23" s="1"/>
  <c r="U235" i="23" s="1"/>
  <c r="AH83" i="23"/>
  <c r="B77" i="23"/>
  <c r="B79" i="23" s="1"/>
  <c r="H4" i="23"/>
  <c r="J80" i="23"/>
  <c r="AB235" i="23"/>
  <c r="Z80" i="23"/>
  <c r="AR235" i="23"/>
  <c r="Z7" i="23"/>
  <c r="S80" i="23"/>
  <c r="AK235" i="23"/>
  <c r="S7" i="23"/>
  <c r="T80" i="23"/>
  <c r="AL235" i="23"/>
  <c r="T7" i="23"/>
  <c r="AB80" i="23"/>
  <c r="AT235" i="23"/>
  <c r="AB7" i="23"/>
  <c r="H88" i="23"/>
  <c r="P88" i="23"/>
  <c r="X88" i="23"/>
  <c r="AF88" i="23"/>
  <c r="AG79" i="23"/>
  <c r="AA80" i="23"/>
  <c r="AS235" i="23"/>
  <c r="AA7" i="23"/>
  <c r="M80" i="23"/>
  <c r="AM235" i="23"/>
  <c r="U7" i="23"/>
  <c r="U80" i="23"/>
  <c r="AU235" i="23"/>
  <c r="AC7" i="23"/>
  <c r="AC80" i="23"/>
  <c r="Q88" i="23"/>
  <c r="Y88" i="23"/>
  <c r="AN235" i="23"/>
  <c r="V7" i="23"/>
  <c r="V80" i="23"/>
  <c r="AV235" i="23"/>
  <c r="AD7" i="23"/>
  <c r="AD80" i="23"/>
  <c r="AF235" i="23"/>
  <c r="N7" i="23"/>
  <c r="N80" i="23"/>
  <c r="G80" i="23"/>
  <c r="AO235" i="23"/>
  <c r="W7" i="23"/>
  <c r="W80" i="23"/>
  <c r="AE7" i="23"/>
  <c r="C88" i="23"/>
  <c r="S88" i="23"/>
  <c r="AA88" i="23"/>
  <c r="P80" i="23"/>
  <c r="AH235" i="23"/>
  <c r="P7" i="23"/>
  <c r="X80" i="23"/>
  <c r="AP235" i="23"/>
  <c r="X7" i="23"/>
  <c r="AF80" i="23"/>
  <c r="AX235" i="23"/>
  <c r="AF7" i="23"/>
  <c r="D88" i="23"/>
  <c r="L88" i="23"/>
  <c r="T88" i="23"/>
  <c r="AB88" i="23"/>
  <c r="I80" i="23"/>
  <c r="Y80" i="23"/>
  <c r="AQ235" i="23"/>
  <c r="Y7" i="23"/>
  <c r="AG77" i="23"/>
  <c r="E88" i="23"/>
  <c r="M88" i="23"/>
  <c r="U88" i="23"/>
  <c r="AC88" i="23"/>
  <c r="AI38" i="23"/>
  <c r="AI42" i="23"/>
  <c r="AI84" i="23"/>
  <c r="AH85" i="23"/>
  <c r="D232" i="23"/>
  <c r="E215" i="23"/>
  <c r="G220" i="23"/>
  <c r="AH56" i="23"/>
  <c r="AH60" i="23"/>
  <c r="AH72" i="23"/>
  <c r="AH81" i="23"/>
  <c r="B87" i="23"/>
  <c r="B88" i="23" s="1"/>
  <c r="AI72" i="23"/>
  <c r="AH82" i="23"/>
  <c r="AH38" i="23"/>
  <c r="L221" i="24" l="1"/>
  <c r="M215" i="24"/>
  <c r="L98" i="24"/>
  <c r="K256" i="24"/>
  <c r="M220" i="24"/>
  <c r="AE80" i="23"/>
  <c r="R80" i="23"/>
  <c r="R7" i="23"/>
  <c r="AJ235" i="23"/>
  <c r="Q7" i="23"/>
  <c r="AI235" i="23"/>
  <c r="O80" i="23"/>
  <c r="O7" i="23"/>
  <c r="M7" i="23"/>
  <c r="L7" i="23"/>
  <c r="AD235" i="23"/>
  <c r="K80" i="23"/>
  <c r="AC235" i="23"/>
  <c r="C230" i="23"/>
  <c r="AA235" i="23"/>
  <c r="H7" i="23"/>
  <c r="Z235" i="23"/>
  <c r="B230" i="23"/>
  <c r="G7" i="23"/>
  <c r="F7" i="23"/>
  <c r="X235" i="23"/>
  <c r="E80" i="23"/>
  <c r="E7" i="23"/>
  <c r="D7" i="23"/>
  <c r="V235" i="23"/>
  <c r="C80" i="23"/>
  <c r="AH77" i="23"/>
  <c r="C7" i="23"/>
  <c r="AI77" i="23"/>
  <c r="AI88" i="23"/>
  <c r="AH88" i="23"/>
  <c r="F256" i="23"/>
  <c r="H220" i="23"/>
  <c r="F215" i="23"/>
  <c r="E98" i="23"/>
  <c r="E221" i="23"/>
  <c r="AI87" i="23"/>
  <c r="AH87" i="23"/>
  <c r="B80" i="23"/>
  <c r="AH80" i="23" s="1"/>
  <c r="AI79" i="23"/>
  <c r="AH79" i="23"/>
  <c r="T235" i="23"/>
  <c r="B7" i="23"/>
  <c r="L256" i="24" l="1"/>
  <c r="N220" i="24"/>
  <c r="N215" i="24"/>
  <c r="M98" i="24"/>
  <c r="M221" i="24"/>
  <c r="K6" i="23"/>
  <c r="A7" i="23"/>
  <c r="G215" i="23"/>
  <c r="F98" i="23"/>
  <c r="F221" i="23"/>
  <c r="G256" i="23"/>
  <c r="I220" i="23"/>
  <c r="O215" i="24" l="1"/>
  <c r="N98" i="24"/>
  <c r="N221" i="24"/>
  <c r="M256" i="24"/>
  <c r="O220" i="24"/>
  <c r="H256" i="23"/>
  <c r="J220" i="23"/>
  <c r="H215" i="23"/>
  <c r="G98" i="23"/>
  <c r="G221" i="23"/>
  <c r="N256" i="24" l="1"/>
  <c r="P220" i="24"/>
  <c r="O256" i="24" s="1"/>
  <c r="P215" i="24"/>
  <c r="O98" i="24"/>
  <c r="O221" i="24"/>
  <c r="I215" i="23"/>
  <c r="H98" i="23"/>
  <c r="H221" i="23"/>
  <c r="K220" i="23"/>
  <c r="I256" i="23"/>
  <c r="P98" i="24" l="1"/>
  <c r="P221" i="24"/>
  <c r="J256" i="23"/>
  <c r="L220" i="23"/>
  <c r="I98" i="23"/>
  <c r="I221" i="23"/>
  <c r="J215" i="23"/>
  <c r="AH98" i="24" l="1"/>
  <c r="AI98" i="24"/>
  <c r="J221" i="23"/>
  <c r="K215" i="23"/>
  <c r="J98" i="23"/>
  <c r="K256" i="23"/>
  <c r="M220" i="23"/>
  <c r="K221" i="23" l="1"/>
  <c r="L215" i="23"/>
  <c r="K98" i="23"/>
  <c r="L256" i="23"/>
  <c r="N220" i="23"/>
  <c r="M256" i="23" l="1"/>
  <c r="O220" i="23"/>
  <c r="L221" i="23"/>
  <c r="M215" i="23"/>
  <c r="L98" i="23"/>
  <c r="N215" i="23" l="1"/>
  <c r="M98" i="23"/>
  <c r="M221" i="23"/>
  <c r="N256" i="23"/>
  <c r="P220" i="23"/>
  <c r="O256" i="23" s="1"/>
  <c r="O215" i="23" l="1"/>
  <c r="N98" i="23"/>
  <c r="N221" i="23"/>
  <c r="P215" i="23" l="1"/>
  <c r="O98" i="23"/>
  <c r="O221" i="23"/>
  <c r="P98" i="23" l="1"/>
  <c r="P221" i="23"/>
  <c r="AI98" i="23" l="1"/>
  <c r="AH98" i="23"/>
  <c r="E100" i="4" l="1"/>
  <c r="E37" i="4"/>
  <c r="D100" i="4"/>
  <c r="C100" i="4"/>
  <c r="B100" i="4"/>
  <c r="AF261" i="22"/>
  <c r="AE261" i="22"/>
  <c r="AD261" i="22"/>
  <c r="AC261" i="22"/>
  <c r="AB261" i="22"/>
  <c r="AA261" i="22"/>
  <c r="Z261" i="22"/>
  <c r="Y261" i="22"/>
  <c r="X261" i="22"/>
  <c r="W261" i="22"/>
  <c r="V261" i="22"/>
  <c r="U261" i="22"/>
  <c r="T261" i="22"/>
  <c r="S261" i="22"/>
  <c r="R261" i="22"/>
  <c r="Q261" i="22"/>
  <c r="P261" i="22"/>
  <c r="O261" i="22"/>
  <c r="N261" i="22"/>
  <c r="M261" i="22"/>
  <c r="L261" i="22"/>
  <c r="K261" i="22"/>
  <c r="J261" i="22"/>
  <c r="I261" i="22"/>
  <c r="H261" i="22"/>
  <c r="G261" i="22"/>
  <c r="F261" i="22"/>
  <c r="E261" i="22"/>
  <c r="D261" i="22"/>
  <c r="C261" i="22"/>
  <c r="B261" i="22"/>
  <c r="A261" i="22"/>
  <c r="AF260" i="22"/>
  <c r="AE260" i="22"/>
  <c r="AD260" i="22"/>
  <c r="AC260" i="22"/>
  <c r="AB260" i="22"/>
  <c r="AA260" i="22"/>
  <c r="Z260" i="22"/>
  <c r="Y260" i="22"/>
  <c r="X260" i="22"/>
  <c r="W260" i="22"/>
  <c r="V260" i="22"/>
  <c r="U260" i="22"/>
  <c r="T260" i="22"/>
  <c r="S260" i="22"/>
  <c r="R260" i="22"/>
  <c r="Q260" i="22"/>
  <c r="P260" i="22"/>
  <c r="O260" i="22"/>
  <c r="N260" i="22"/>
  <c r="M260" i="22"/>
  <c r="L260" i="22"/>
  <c r="K260" i="22"/>
  <c r="J260" i="22"/>
  <c r="I260" i="22"/>
  <c r="H260" i="22"/>
  <c r="G260" i="22"/>
  <c r="F260" i="22"/>
  <c r="E260" i="22"/>
  <c r="D260" i="22"/>
  <c r="C260" i="22"/>
  <c r="B260" i="22"/>
  <c r="A260" i="22"/>
  <c r="AF259" i="22"/>
  <c r="AE259" i="22"/>
  <c r="AD259" i="22"/>
  <c r="AC259" i="22"/>
  <c r="AB259" i="22"/>
  <c r="AA259" i="22"/>
  <c r="Z259" i="22"/>
  <c r="Y259" i="22"/>
  <c r="X259" i="22"/>
  <c r="W259" i="22"/>
  <c r="V259" i="22"/>
  <c r="U259" i="22"/>
  <c r="T259" i="22"/>
  <c r="S259" i="22"/>
  <c r="R259" i="22"/>
  <c r="Q259" i="22"/>
  <c r="P259" i="22"/>
  <c r="O259" i="22"/>
  <c r="N259" i="22"/>
  <c r="M259" i="22"/>
  <c r="L259" i="22"/>
  <c r="K259" i="22"/>
  <c r="J259" i="22"/>
  <c r="I259" i="22"/>
  <c r="H259" i="22"/>
  <c r="G259" i="22"/>
  <c r="F259" i="22"/>
  <c r="E259" i="22"/>
  <c r="D259" i="22"/>
  <c r="C259" i="22"/>
  <c r="B259" i="22"/>
  <c r="A259" i="22"/>
  <c r="AF258" i="22"/>
  <c r="AE258" i="22"/>
  <c r="AD258" i="22"/>
  <c r="AC258" i="22"/>
  <c r="AB258" i="22"/>
  <c r="AA258" i="22"/>
  <c r="Z258" i="22"/>
  <c r="Y258" i="22"/>
  <c r="X258" i="22"/>
  <c r="W258" i="22"/>
  <c r="V258" i="22"/>
  <c r="U258" i="22"/>
  <c r="T258" i="22"/>
  <c r="S258" i="22"/>
  <c r="R258" i="22"/>
  <c r="Q258" i="22"/>
  <c r="P258" i="22"/>
  <c r="O258" i="22"/>
  <c r="N258" i="22"/>
  <c r="M258" i="22"/>
  <c r="L258" i="22"/>
  <c r="K258" i="22"/>
  <c r="J258" i="22"/>
  <c r="I258" i="22"/>
  <c r="H258" i="22"/>
  <c r="G258" i="22"/>
  <c r="F258" i="22"/>
  <c r="E258" i="22"/>
  <c r="D258" i="22"/>
  <c r="C258" i="22"/>
  <c r="B258" i="22"/>
  <c r="A258" i="22"/>
  <c r="AE257" i="22"/>
  <c r="AD257" i="22"/>
  <c r="AC257" i="22"/>
  <c r="AB257" i="22"/>
  <c r="AA257" i="22"/>
  <c r="Z257" i="22"/>
  <c r="Y257" i="22"/>
  <c r="X257" i="22"/>
  <c r="W257" i="22"/>
  <c r="V257" i="22"/>
  <c r="U257" i="22"/>
  <c r="T257" i="22"/>
  <c r="S257" i="22"/>
  <c r="R257" i="22"/>
  <c r="Q257" i="22"/>
  <c r="P257" i="22"/>
  <c r="E257" i="22"/>
  <c r="D257" i="22"/>
  <c r="C257" i="22"/>
  <c r="B257" i="22"/>
  <c r="S232" i="22"/>
  <c r="AG222" i="22"/>
  <c r="AF222" i="22"/>
  <c r="AE222" i="22"/>
  <c r="AD222" i="22"/>
  <c r="AC222" i="22"/>
  <c r="AB222" i="22"/>
  <c r="AA222" i="22"/>
  <c r="Z222" i="22"/>
  <c r="Y222" i="22"/>
  <c r="X222" i="22"/>
  <c r="W222" i="22"/>
  <c r="V222" i="22"/>
  <c r="U222" i="22"/>
  <c r="T222" i="22"/>
  <c r="S222" i="22"/>
  <c r="R222" i="22"/>
  <c r="Q222" i="22"/>
  <c r="C222" i="22"/>
  <c r="H221" i="22"/>
  <c r="G257" i="22" s="1"/>
  <c r="G221" i="22"/>
  <c r="F257" i="22" s="1"/>
  <c r="F221" i="22"/>
  <c r="E221" i="22"/>
  <c r="D221" i="22"/>
  <c r="B221" i="22"/>
  <c r="AF257" i="22" s="1"/>
  <c r="F220" i="22"/>
  <c r="G220" i="22" s="1"/>
  <c r="H220" i="22" s="1"/>
  <c r="I220" i="22" s="1"/>
  <c r="J220" i="22" s="1"/>
  <c r="K220" i="22" s="1"/>
  <c r="L220" i="22" s="1"/>
  <c r="M220" i="22" s="1"/>
  <c r="N220" i="22" s="1"/>
  <c r="O220" i="22" s="1"/>
  <c r="P220" i="22" s="1"/>
  <c r="E220" i="22"/>
  <c r="D220" i="22"/>
  <c r="B220" i="22"/>
  <c r="D219" i="22"/>
  <c r="E219" i="22" s="1"/>
  <c r="F219" i="22" s="1"/>
  <c r="G219" i="22" s="1"/>
  <c r="H219" i="22" s="1"/>
  <c r="I219" i="22" s="1"/>
  <c r="J219" i="22" s="1"/>
  <c r="K219" i="22" s="1"/>
  <c r="L219" i="22" s="1"/>
  <c r="M219" i="22" s="1"/>
  <c r="N219" i="22" s="1"/>
  <c r="O219" i="22" s="1"/>
  <c r="P219" i="22" s="1"/>
  <c r="B219" i="22"/>
  <c r="E218" i="22"/>
  <c r="F218" i="22" s="1"/>
  <c r="G218" i="22" s="1"/>
  <c r="H218" i="22" s="1"/>
  <c r="I218" i="22" s="1"/>
  <c r="J218" i="22" s="1"/>
  <c r="K218" i="22" s="1"/>
  <c r="L218" i="22" s="1"/>
  <c r="M218" i="22" s="1"/>
  <c r="N218" i="22" s="1"/>
  <c r="O218" i="22" s="1"/>
  <c r="P218" i="22" s="1"/>
  <c r="D218" i="22"/>
  <c r="B218" i="22"/>
  <c r="H217" i="22"/>
  <c r="I217" i="22" s="1"/>
  <c r="J217" i="22" s="1"/>
  <c r="K217" i="22" s="1"/>
  <c r="L217" i="22" s="1"/>
  <c r="M217" i="22" s="1"/>
  <c r="N217" i="22" s="1"/>
  <c r="O217" i="22" s="1"/>
  <c r="P217" i="22" s="1"/>
  <c r="G217" i="22"/>
  <c r="F217" i="22"/>
  <c r="E217" i="22"/>
  <c r="D217" i="22"/>
  <c r="B217" i="22"/>
  <c r="F216" i="22"/>
  <c r="G216" i="22" s="1"/>
  <c r="E216" i="22"/>
  <c r="E222" i="22" s="1"/>
  <c r="D216" i="22"/>
  <c r="D222" i="22" s="1"/>
  <c r="B216" i="22"/>
  <c r="B222" i="22" s="1"/>
  <c r="AG214" i="22"/>
  <c r="AF214" i="22"/>
  <c r="AE214" i="22"/>
  <c r="AD214" i="22"/>
  <c r="AC214" i="22"/>
  <c r="AB214" i="22"/>
  <c r="AA214" i="22"/>
  <c r="Z214" i="22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AH107" i="22"/>
  <c r="AI107" i="22" s="1"/>
  <c r="AH106" i="22"/>
  <c r="AI106" i="22" s="1"/>
  <c r="AI105" i="22"/>
  <c r="AH105" i="22"/>
  <c r="AI104" i="22"/>
  <c r="AH104" i="22"/>
  <c r="AH103" i="22"/>
  <c r="AI103" i="22" s="1"/>
  <c r="AH102" i="22"/>
  <c r="AI102" i="22" s="1"/>
  <c r="AH101" i="22"/>
  <c r="AI101" i="22" s="1"/>
  <c r="AH99" i="22"/>
  <c r="AI99" i="22" s="1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F98" i="22"/>
  <c r="E98" i="22"/>
  <c r="D98" i="22"/>
  <c r="C98" i="22"/>
  <c r="B98" i="22"/>
  <c r="AI97" i="22"/>
  <c r="AH97" i="22"/>
  <c r="AI96" i="22"/>
  <c r="AH96" i="22"/>
  <c r="AI95" i="22"/>
  <c r="AH95" i="22"/>
  <c r="AI94" i="22"/>
  <c r="AH94" i="22"/>
  <c r="AI93" i="22"/>
  <c r="AH93" i="22"/>
  <c r="AI92" i="22"/>
  <c r="AH92" i="22"/>
  <c r="AI91" i="22"/>
  <c r="AH91" i="22"/>
  <c r="AI90" i="22"/>
  <c r="AH90" i="22"/>
  <c r="AI89" i="22"/>
  <c r="AH89" i="22"/>
  <c r="Z87" i="22"/>
  <c r="Y87" i="22"/>
  <c r="R87" i="22"/>
  <c r="Q87" i="22"/>
  <c r="J87" i="22"/>
  <c r="I87" i="22"/>
  <c r="B87" i="22"/>
  <c r="AI86" i="22"/>
  <c r="AH86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AI85" i="22" s="1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H84" i="22" s="1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AI83" i="22" s="1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AI82" i="22" s="1"/>
  <c r="AF81" i="22"/>
  <c r="AF87" i="22" s="1"/>
  <c r="AF88" i="22" s="1"/>
  <c r="AE81" i="22"/>
  <c r="AE87" i="22" s="1"/>
  <c r="AD81" i="22"/>
  <c r="AD87" i="22" s="1"/>
  <c r="AC81" i="22"/>
  <c r="AC87" i="22" s="1"/>
  <c r="AB81" i="22"/>
  <c r="AB87" i="22" s="1"/>
  <c r="AA81" i="22"/>
  <c r="AA87" i="22" s="1"/>
  <c r="Z81" i="22"/>
  <c r="Y81" i="22"/>
  <c r="X81" i="22"/>
  <c r="X87" i="22" s="1"/>
  <c r="X88" i="22" s="1"/>
  <c r="W81" i="22"/>
  <c r="W87" i="22" s="1"/>
  <c r="V81" i="22"/>
  <c r="V87" i="22" s="1"/>
  <c r="U81" i="22"/>
  <c r="U87" i="22" s="1"/>
  <c r="T81" i="22"/>
  <c r="T87" i="22" s="1"/>
  <c r="S81" i="22"/>
  <c r="S87" i="22" s="1"/>
  <c r="R81" i="22"/>
  <c r="Q81" i="22"/>
  <c r="P81" i="22"/>
  <c r="P87" i="22" s="1"/>
  <c r="P88" i="22" s="1"/>
  <c r="O81" i="22"/>
  <c r="O87" i="22" s="1"/>
  <c r="N81" i="22"/>
  <c r="N87" i="22" s="1"/>
  <c r="M81" i="22"/>
  <c r="M87" i="22" s="1"/>
  <c r="L81" i="22"/>
  <c r="L87" i="22" s="1"/>
  <c r="K81" i="22"/>
  <c r="K87" i="22" s="1"/>
  <c r="J81" i="22"/>
  <c r="I81" i="22"/>
  <c r="H81" i="22"/>
  <c r="AH81" i="22" s="1"/>
  <c r="G81" i="22"/>
  <c r="G87" i="22" s="1"/>
  <c r="F81" i="22"/>
  <c r="F87" i="22" s="1"/>
  <c r="E81" i="22"/>
  <c r="E87" i="22" s="1"/>
  <c r="D81" i="22"/>
  <c r="D87" i="22" s="1"/>
  <c r="C81" i="22"/>
  <c r="C87" i="22" s="1"/>
  <c r="B81" i="22"/>
  <c r="AI81" i="22" s="1"/>
  <c r="AI78" i="22"/>
  <c r="AH78" i="22"/>
  <c r="AI76" i="22"/>
  <c r="AH76" i="22"/>
  <c r="AG76" i="22"/>
  <c r="AG79" i="22" s="1"/>
  <c r="AI75" i="22"/>
  <c r="AH75" i="22"/>
  <c r="AI74" i="22"/>
  <c r="AH74" i="22"/>
  <c r="AI73" i="22"/>
  <c r="AH73" i="22"/>
  <c r="AG72" i="22"/>
  <c r="AF72" i="22"/>
  <c r="AE5" i="22" s="1"/>
  <c r="AE72" i="22"/>
  <c r="AD5" i="22" s="1"/>
  <c r="AD72" i="22"/>
  <c r="AD88" i="22" s="1"/>
  <c r="AC72" i="22"/>
  <c r="AC88" i="22" s="1"/>
  <c r="AB72" i="22"/>
  <c r="AB88" i="22" s="1"/>
  <c r="AA72" i="22"/>
  <c r="AA88" i="22" s="1"/>
  <c r="Z72" i="22"/>
  <c r="Y5" i="22" s="1"/>
  <c r="Y72" i="22"/>
  <c r="X5" i="22" s="1"/>
  <c r="X72" i="22"/>
  <c r="W5" i="22" s="1"/>
  <c r="W72" i="22"/>
  <c r="V5" i="22" s="1"/>
  <c r="V72" i="22"/>
  <c r="V88" i="22" s="1"/>
  <c r="U72" i="22"/>
  <c r="U88" i="22" s="1"/>
  <c r="T72" i="22"/>
  <c r="T88" i="22" s="1"/>
  <c r="S72" i="22"/>
  <c r="S88" i="22" s="1"/>
  <c r="R72" i="22"/>
  <c r="Q5" i="22" s="1"/>
  <c r="Q72" i="22"/>
  <c r="P5" i="22" s="1"/>
  <c r="P72" i="22"/>
  <c r="O5" i="22" s="1"/>
  <c r="O72" i="22"/>
  <c r="N5" i="22" s="1"/>
  <c r="N72" i="22"/>
  <c r="N88" i="22" s="1"/>
  <c r="M72" i="22"/>
  <c r="M88" i="22" s="1"/>
  <c r="L72" i="22"/>
  <c r="L88" i="22" s="1"/>
  <c r="K72" i="22"/>
  <c r="K88" i="22" s="1"/>
  <c r="J72" i="22"/>
  <c r="I5" i="22" s="1"/>
  <c r="I72" i="22"/>
  <c r="H5" i="22" s="1"/>
  <c r="H72" i="22"/>
  <c r="G5" i="22" s="1"/>
  <c r="G72" i="22"/>
  <c r="F5" i="22" s="1"/>
  <c r="F72" i="22"/>
  <c r="F88" i="22" s="1"/>
  <c r="E72" i="22"/>
  <c r="E88" i="22" s="1"/>
  <c r="D72" i="22"/>
  <c r="D88" i="22" s="1"/>
  <c r="C72" i="22"/>
  <c r="C88" i="22" s="1"/>
  <c r="B72" i="22"/>
  <c r="AF5" i="22" s="1"/>
  <c r="AI71" i="22"/>
  <c r="AH71" i="22"/>
  <c r="AI70" i="22"/>
  <c r="AH70" i="22"/>
  <c r="AI69" i="22"/>
  <c r="AH69" i="22"/>
  <c r="AI68" i="22"/>
  <c r="AH68" i="22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G60" i="22"/>
  <c r="AG4" i="22" s="1"/>
  <c r="AF60" i="22"/>
  <c r="AE60" i="22"/>
  <c r="AD60" i="22"/>
  <c r="AC60" i="22"/>
  <c r="AB60" i="22"/>
  <c r="AA60" i="22"/>
  <c r="Z60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AI60" i="22" s="1"/>
  <c r="AI59" i="22"/>
  <c r="AH59" i="22"/>
  <c r="AI58" i="22"/>
  <c r="AH58" i="22"/>
  <c r="AI57" i="22"/>
  <c r="AH57" i="22"/>
  <c r="AG56" i="22"/>
  <c r="AG3" i="22" s="1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AI56" i="22" s="1"/>
  <c r="AI55" i="22"/>
  <c r="AH55" i="22"/>
  <c r="AG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AH42" i="22" s="1"/>
  <c r="AI41" i="22"/>
  <c r="AH41" i="22"/>
  <c r="AI40" i="22"/>
  <c r="AH40" i="22"/>
  <c r="AI39" i="22"/>
  <c r="AH39" i="22"/>
  <c r="AG38" i="22"/>
  <c r="AG77" i="22" s="1"/>
  <c r="AF38" i="22"/>
  <c r="AF77" i="22" s="1"/>
  <c r="AF79" i="22" s="1"/>
  <c r="AE38" i="22"/>
  <c r="AE77" i="22" s="1"/>
  <c r="AE79" i="22" s="1"/>
  <c r="AD38" i="22"/>
  <c r="AD77" i="22" s="1"/>
  <c r="AD79" i="22" s="1"/>
  <c r="AC38" i="22"/>
  <c r="AC77" i="22" s="1"/>
  <c r="AC79" i="22" s="1"/>
  <c r="AB38" i="22"/>
  <c r="AB77" i="22" s="1"/>
  <c r="AB79" i="22" s="1"/>
  <c r="AA38" i="22"/>
  <c r="AA77" i="22" s="1"/>
  <c r="AA79" i="22" s="1"/>
  <c r="Z38" i="22"/>
  <c r="Z77" i="22" s="1"/>
  <c r="Z79" i="22" s="1"/>
  <c r="Y38" i="22"/>
  <c r="Y77" i="22" s="1"/>
  <c r="Y79" i="22" s="1"/>
  <c r="X38" i="22"/>
  <c r="X77" i="22" s="1"/>
  <c r="X79" i="22" s="1"/>
  <c r="W38" i="22"/>
  <c r="W77" i="22" s="1"/>
  <c r="W79" i="22" s="1"/>
  <c r="V38" i="22"/>
  <c r="V77" i="22" s="1"/>
  <c r="V79" i="22" s="1"/>
  <c r="U38" i="22"/>
  <c r="U77" i="22" s="1"/>
  <c r="U79" i="22" s="1"/>
  <c r="T38" i="22"/>
  <c r="T77" i="22" s="1"/>
  <c r="T79" i="22" s="1"/>
  <c r="S38" i="22"/>
  <c r="S77" i="22" s="1"/>
  <c r="S79" i="22" s="1"/>
  <c r="R38" i="22"/>
  <c r="R77" i="22" s="1"/>
  <c r="R79" i="22" s="1"/>
  <c r="Q38" i="22"/>
  <c r="Q77" i="22" s="1"/>
  <c r="Q79" i="22" s="1"/>
  <c r="P38" i="22"/>
  <c r="P77" i="22" s="1"/>
  <c r="P79" i="22" s="1"/>
  <c r="O38" i="22"/>
  <c r="O77" i="22" s="1"/>
  <c r="O79" i="22" s="1"/>
  <c r="N38" i="22"/>
  <c r="N77" i="22" s="1"/>
  <c r="N79" i="22" s="1"/>
  <c r="M38" i="22"/>
  <c r="M77" i="22" s="1"/>
  <c r="M79" i="22" s="1"/>
  <c r="L38" i="22"/>
  <c r="L77" i="22" s="1"/>
  <c r="L79" i="22" s="1"/>
  <c r="K38" i="22"/>
  <c r="K77" i="22" s="1"/>
  <c r="K79" i="22" s="1"/>
  <c r="J38" i="22"/>
  <c r="J77" i="22" s="1"/>
  <c r="J79" i="22" s="1"/>
  <c r="I38" i="22"/>
  <c r="I77" i="22" s="1"/>
  <c r="I79" i="22" s="1"/>
  <c r="H38" i="22"/>
  <c r="H77" i="22" s="1"/>
  <c r="H79" i="22" s="1"/>
  <c r="G38" i="22"/>
  <c r="G77" i="22" s="1"/>
  <c r="G79" i="22" s="1"/>
  <c r="F38" i="22"/>
  <c r="F77" i="22" s="1"/>
  <c r="F79" i="22" s="1"/>
  <c r="E38" i="22"/>
  <c r="E77" i="22" s="1"/>
  <c r="E79" i="22" s="1"/>
  <c r="D38" i="22"/>
  <c r="D77" i="22" s="1"/>
  <c r="D79" i="22" s="1"/>
  <c r="C38" i="22"/>
  <c r="C77" i="22" s="1"/>
  <c r="C79" i="22" s="1"/>
  <c r="B38" i="22"/>
  <c r="B77" i="22" s="1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C5" i="22"/>
  <c r="AB5" i="22"/>
  <c r="AA5" i="22"/>
  <c r="Z5" i="22"/>
  <c r="U5" i="22"/>
  <c r="T5" i="22"/>
  <c r="S5" i="22"/>
  <c r="R5" i="22"/>
  <c r="M5" i="22"/>
  <c r="L5" i="22"/>
  <c r="K5" i="22"/>
  <c r="J5" i="22"/>
  <c r="E5" i="22"/>
  <c r="D5" i="22"/>
  <c r="C5" i="22"/>
  <c r="B5" i="22"/>
  <c r="K4" i="22"/>
  <c r="S233" i="22"/>
  <c r="AG2" i="22"/>
  <c r="AG6" i="22" s="1"/>
  <c r="AF5" i="21"/>
  <c r="AF100" i="21"/>
  <c r="AE100" i="21"/>
  <c r="AE37" i="21"/>
  <c r="AF37" i="21"/>
  <c r="AD100" i="21"/>
  <c r="AD37" i="21"/>
  <c r="AC100" i="21"/>
  <c r="AC37" i="21"/>
  <c r="AB100" i="21"/>
  <c r="AB37" i="21"/>
  <c r="AA37" i="21"/>
  <c r="Z37" i="21"/>
  <c r="Y37" i="21"/>
  <c r="W37" i="21"/>
  <c r="V37" i="21"/>
  <c r="U37" i="21"/>
  <c r="S37" i="21"/>
  <c r="R37" i="21"/>
  <c r="Q100" i="21"/>
  <c r="Q37" i="21"/>
  <c r="P100" i="21"/>
  <c r="P37" i="21"/>
  <c r="O100" i="21"/>
  <c r="O37" i="21"/>
  <c r="N37" i="21"/>
  <c r="M100" i="21"/>
  <c r="M37" i="21"/>
  <c r="L37" i="21"/>
  <c r="K37" i="21"/>
  <c r="J42" i="21"/>
  <c r="J37" i="21"/>
  <c r="I37" i="21"/>
  <c r="H37" i="21"/>
  <c r="G37" i="21"/>
  <c r="F37" i="21"/>
  <c r="E37" i="21"/>
  <c r="D100" i="21"/>
  <c r="D99" i="21"/>
  <c r="D37" i="21"/>
  <c r="C100" i="21"/>
  <c r="C99" i="21"/>
  <c r="C37" i="21"/>
  <c r="B100" i="21"/>
  <c r="B99" i="21"/>
  <c r="B98" i="21"/>
  <c r="B85" i="21"/>
  <c r="B84" i="21"/>
  <c r="B83" i="21"/>
  <c r="B82" i="21"/>
  <c r="B81" i="21"/>
  <c r="B72" i="21"/>
  <c r="B60" i="21"/>
  <c r="B56" i="21"/>
  <c r="B42" i="21"/>
  <c r="B38" i="21"/>
  <c r="B77" i="21" s="1"/>
  <c r="B79" i="21" s="1"/>
  <c r="B37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E256" i="21"/>
  <c r="D256" i="21"/>
  <c r="C256" i="21"/>
  <c r="B256" i="21"/>
  <c r="S23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C221" i="21"/>
  <c r="G220" i="21"/>
  <c r="F256" i="21" s="1"/>
  <c r="F220" i="21"/>
  <c r="E220" i="21"/>
  <c r="D220" i="21"/>
  <c r="B220" i="21"/>
  <c r="AF256" i="21" s="1"/>
  <c r="E219" i="21"/>
  <c r="F219" i="21" s="1"/>
  <c r="G219" i="21" s="1"/>
  <c r="H219" i="21" s="1"/>
  <c r="I219" i="21" s="1"/>
  <c r="J219" i="21" s="1"/>
  <c r="K219" i="21" s="1"/>
  <c r="L219" i="21" s="1"/>
  <c r="M219" i="21" s="1"/>
  <c r="N219" i="21" s="1"/>
  <c r="O219" i="21" s="1"/>
  <c r="P219" i="21" s="1"/>
  <c r="D219" i="21"/>
  <c r="B219" i="21"/>
  <c r="D218" i="21"/>
  <c r="E218" i="21" s="1"/>
  <c r="F218" i="21" s="1"/>
  <c r="G218" i="21" s="1"/>
  <c r="H218" i="21" s="1"/>
  <c r="I218" i="21" s="1"/>
  <c r="J218" i="21" s="1"/>
  <c r="K218" i="21" s="1"/>
  <c r="L218" i="21" s="1"/>
  <c r="M218" i="21" s="1"/>
  <c r="N218" i="21" s="1"/>
  <c r="O218" i="21" s="1"/>
  <c r="P218" i="21" s="1"/>
  <c r="B218" i="21"/>
  <c r="I217" i="21"/>
  <c r="J217" i="21" s="1"/>
  <c r="K217" i="21" s="1"/>
  <c r="L217" i="21" s="1"/>
  <c r="M217" i="21" s="1"/>
  <c r="N217" i="21" s="1"/>
  <c r="O217" i="21" s="1"/>
  <c r="P217" i="21" s="1"/>
  <c r="H217" i="21"/>
  <c r="G217" i="21"/>
  <c r="F217" i="21"/>
  <c r="E217" i="21"/>
  <c r="D217" i="21"/>
  <c r="B217" i="21"/>
  <c r="G216" i="21"/>
  <c r="H216" i="21" s="1"/>
  <c r="I216" i="21" s="1"/>
  <c r="J216" i="21" s="1"/>
  <c r="K216" i="21" s="1"/>
  <c r="L216" i="21" s="1"/>
  <c r="M216" i="21" s="1"/>
  <c r="N216" i="21" s="1"/>
  <c r="O216" i="21" s="1"/>
  <c r="P216" i="21" s="1"/>
  <c r="F216" i="21"/>
  <c r="E216" i="21"/>
  <c r="D216" i="21"/>
  <c r="B216" i="21"/>
  <c r="E215" i="21"/>
  <c r="F215" i="21" s="1"/>
  <c r="D215" i="21"/>
  <c r="D221" i="21" s="1"/>
  <c r="B215" i="21"/>
  <c r="B221" i="21" s="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H106" i="21"/>
  <c r="AI106" i="21" s="1"/>
  <c r="AH105" i="21"/>
  <c r="AI105" i="21" s="1"/>
  <c r="AH104" i="21"/>
  <c r="AI104" i="21" s="1"/>
  <c r="AH103" i="21"/>
  <c r="AI103" i="21" s="1"/>
  <c r="AH102" i="21"/>
  <c r="AI102" i="21" s="1"/>
  <c r="AH101" i="21"/>
  <c r="AI101" i="21" s="1"/>
  <c r="AH100" i="21"/>
  <c r="AI100" i="21" s="1"/>
  <c r="AH99" i="21"/>
  <c r="AI99" i="21" s="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E98" i="21"/>
  <c r="D98" i="21"/>
  <c r="C98" i="21"/>
  <c r="AI97" i="21"/>
  <c r="AH97" i="21"/>
  <c r="AI96" i="21"/>
  <c r="AH96" i="21"/>
  <c r="AI95" i="21"/>
  <c r="AH95" i="21"/>
  <c r="AI94" i="21"/>
  <c r="AH94" i="21"/>
  <c r="AI93" i="21"/>
  <c r="AH93" i="21"/>
  <c r="AI92" i="21"/>
  <c r="AH92" i="21"/>
  <c r="AI91" i="21"/>
  <c r="AH91" i="21"/>
  <c r="AI90" i="21"/>
  <c r="AH90" i="21"/>
  <c r="AI89" i="21"/>
  <c r="AH89" i="21"/>
  <c r="AI86" i="21"/>
  <c r="AH86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Q87" i="21" s="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AF81" i="21"/>
  <c r="AF87" i="21" s="1"/>
  <c r="AE81" i="21"/>
  <c r="AE87" i="21" s="1"/>
  <c r="AD81" i="21"/>
  <c r="AC81" i="21"/>
  <c r="AB81" i="21"/>
  <c r="AA81" i="21"/>
  <c r="Z81" i="21"/>
  <c r="Y81" i="21"/>
  <c r="X81" i="21"/>
  <c r="W81" i="21"/>
  <c r="V81" i="21"/>
  <c r="V87" i="21" s="1"/>
  <c r="U81" i="21"/>
  <c r="T81" i="21"/>
  <c r="S81" i="21"/>
  <c r="R81" i="21"/>
  <c r="Q81" i="21"/>
  <c r="P81" i="21"/>
  <c r="O81" i="21"/>
  <c r="N81" i="21"/>
  <c r="M81" i="21"/>
  <c r="L81" i="21"/>
  <c r="K81" i="21"/>
  <c r="J81" i="21"/>
  <c r="J87" i="21" s="1"/>
  <c r="I81" i="21"/>
  <c r="H81" i="21"/>
  <c r="G81" i="21"/>
  <c r="F81" i="21"/>
  <c r="E81" i="21"/>
  <c r="D81" i="21"/>
  <c r="C81" i="21"/>
  <c r="AI78" i="21"/>
  <c r="AH78" i="21"/>
  <c r="AI76" i="21"/>
  <c r="AH76" i="21"/>
  <c r="AG76" i="21"/>
  <c r="AG79" i="21" s="1"/>
  <c r="AI75" i="21"/>
  <c r="AH75" i="21"/>
  <c r="AI74" i="21"/>
  <c r="AH74" i="21"/>
  <c r="AI73" i="21"/>
  <c r="AH73" i="21"/>
  <c r="AG72" i="21"/>
  <c r="AF72" i="21"/>
  <c r="AE5" i="21" s="1"/>
  <c r="AE72" i="21"/>
  <c r="AD5" i="21" s="1"/>
  <c r="AD72" i="21"/>
  <c r="AC5" i="21" s="1"/>
  <c r="AC72" i="21"/>
  <c r="AB72" i="21"/>
  <c r="AA5" i="21" s="1"/>
  <c r="AA72" i="21"/>
  <c r="Z5" i="21" s="1"/>
  <c r="Z72" i="21"/>
  <c r="Y5" i="21" s="1"/>
  <c r="Y72" i="21"/>
  <c r="X5" i="21" s="1"/>
  <c r="X72" i="21"/>
  <c r="W5" i="21" s="1"/>
  <c r="W72" i="21"/>
  <c r="V72" i="21"/>
  <c r="U72" i="21"/>
  <c r="T72" i="21"/>
  <c r="S72" i="21"/>
  <c r="R72" i="21"/>
  <c r="Q5" i="21" s="1"/>
  <c r="Q72" i="21"/>
  <c r="P5" i="21" s="1"/>
  <c r="P72" i="21"/>
  <c r="O5" i="21" s="1"/>
  <c r="O72" i="21"/>
  <c r="N72" i="21"/>
  <c r="M5" i="21" s="1"/>
  <c r="M72" i="21"/>
  <c r="L72" i="21"/>
  <c r="K5" i="21" s="1"/>
  <c r="K72" i="21"/>
  <c r="J5" i="21" s="1"/>
  <c r="J72" i="21"/>
  <c r="I5" i="21" s="1"/>
  <c r="I72" i="21"/>
  <c r="H5" i="21" s="1"/>
  <c r="H72" i="21"/>
  <c r="G5" i="21" s="1"/>
  <c r="G72" i="21"/>
  <c r="F5" i="21" s="1"/>
  <c r="F72" i="21"/>
  <c r="E5" i="21" s="1"/>
  <c r="E72" i="21"/>
  <c r="D72" i="21"/>
  <c r="C5" i="21" s="1"/>
  <c r="C72" i="21"/>
  <c r="B5" i="21" s="1"/>
  <c r="AI71" i="21"/>
  <c r="AH71" i="21"/>
  <c r="AI70" i="21"/>
  <c r="AH70" i="21"/>
  <c r="AI69" i="21"/>
  <c r="AH69" i="21"/>
  <c r="AI68" i="21"/>
  <c r="AH68" i="2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G60" i="21"/>
  <c r="AG4" i="21" s="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AI59" i="21"/>
  <c r="AH59" i="21"/>
  <c r="AI58" i="21"/>
  <c r="AH58" i="21"/>
  <c r="AI57" i="21"/>
  <c r="AH57" i="21"/>
  <c r="AG56" i="21"/>
  <c r="AG3" i="21" s="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AI55" i="21"/>
  <c r="AH55" i="21"/>
  <c r="AG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I42" i="21"/>
  <c r="H42" i="21"/>
  <c r="G42" i="21"/>
  <c r="F42" i="21"/>
  <c r="E42" i="21"/>
  <c r="D42" i="21"/>
  <c r="C42" i="21"/>
  <c r="AI41" i="21"/>
  <c r="AH41" i="21"/>
  <c r="AI40" i="21"/>
  <c r="AH40" i="21"/>
  <c r="AI39" i="21"/>
  <c r="AH39" i="21"/>
  <c r="AG38" i="21"/>
  <c r="AG77" i="21" s="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N77" i="21" s="1"/>
  <c r="N79" i="21" s="1"/>
  <c r="M38" i="21"/>
  <c r="L38" i="21"/>
  <c r="K38" i="21"/>
  <c r="J38" i="21"/>
  <c r="I38" i="21"/>
  <c r="H38" i="21"/>
  <c r="G38" i="21"/>
  <c r="F38" i="21"/>
  <c r="E38" i="21"/>
  <c r="D38" i="21"/>
  <c r="C38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V5" i="21"/>
  <c r="U5" i="21"/>
  <c r="T5" i="21"/>
  <c r="S5" i="21"/>
  <c r="R5" i="21"/>
  <c r="K4" i="21"/>
  <c r="B4" i="21"/>
  <c r="S232" i="21" s="1"/>
  <c r="AG2" i="21"/>
  <c r="AF100" i="20"/>
  <c r="AF99" i="20"/>
  <c r="AF37" i="20"/>
  <c r="AE100" i="20"/>
  <c r="AE99" i="20"/>
  <c r="AE37" i="20"/>
  <c r="AD100" i="20"/>
  <c r="AD99" i="20"/>
  <c r="AD37" i="20"/>
  <c r="AC37" i="20"/>
  <c r="AB100" i="20"/>
  <c r="AB99" i="20"/>
  <c r="AB37" i="20"/>
  <c r="AA98" i="20"/>
  <c r="AA88" i="20"/>
  <c r="AA87" i="20"/>
  <c r="AA80" i="20" s="1"/>
  <c r="AA79" i="20"/>
  <c r="AA77" i="20"/>
  <c r="AA72" i="20"/>
  <c r="AA60" i="20"/>
  <c r="AA56" i="20"/>
  <c r="AA42" i="20"/>
  <c r="AA38" i="20"/>
  <c r="AA100" i="20"/>
  <c r="Z100" i="20"/>
  <c r="Z37" i="20"/>
  <c r="Y100" i="20"/>
  <c r="Y37" i="20"/>
  <c r="AI37" i="20"/>
  <c r="X100" i="20"/>
  <c r="X37" i="20"/>
  <c r="W100" i="20"/>
  <c r="W37" i="20"/>
  <c r="V100" i="20"/>
  <c r="V37" i="20"/>
  <c r="U100" i="20"/>
  <c r="U37" i="20"/>
  <c r="T100" i="20"/>
  <c r="T37" i="20"/>
  <c r="Q100" i="20"/>
  <c r="P100" i="20"/>
  <c r="P88" i="20"/>
  <c r="O100" i="20"/>
  <c r="M100" i="20"/>
  <c r="M37" i="20"/>
  <c r="L99" i="20"/>
  <c r="I100" i="20"/>
  <c r="I99" i="20"/>
  <c r="AF260" i="20"/>
  <c r="AE260" i="20"/>
  <c r="AD260" i="20"/>
  <c r="AC260" i="20"/>
  <c r="AB260" i="20"/>
  <c r="AA260" i="20"/>
  <c r="Z260" i="20"/>
  <c r="Y260" i="20"/>
  <c r="X260" i="20"/>
  <c r="W260" i="20"/>
  <c r="V260" i="20"/>
  <c r="U260" i="20"/>
  <c r="T260" i="20"/>
  <c r="S260" i="20"/>
  <c r="R260" i="20"/>
  <c r="Q260" i="20"/>
  <c r="P260" i="20"/>
  <c r="O260" i="20"/>
  <c r="N260" i="20"/>
  <c r="M260" i="20"/>
  <c r="L260" i="20"/>
  <c r="K260" i="20"/>
  <c r="J260" i="20"/>
  <c r="I260" i="20"/>
  <c r="H260" i="20"/>
  <c r="G260" i="20"/>
  <c r="F260" i="20"/>
  <c r="E260" i="20"/>
  <c r="D260" i="20"/>
  <c r="C260" i="20"/>
  <c r="B260" i="20"/>
  <c r="A260" i="20"/>
  <c r="AF259" i="20"/>
  <c r="AE259" i="20"/>
  <c r="AD259" i="20"/>
  <c r="AC259" i="20"/>
  <c r="AB259" i="20"/>
  <c r="AA259" i="20"/>
  <c r="Z259" i="20"/>
  <c r="Y259" i="20"/>
  <c r="X259" i="20"/>
  <c r="W259" i="20"/>
  <c r="V259" i="20"/>
  <c r="U259" i="20"/>
  <c r="T259" i="20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D259" i="20"/>
  <c r="C259" i="20"/>
  <c r="B259" i="20"/>
  <c r="A259" i="20"/>
  <c r="AF258" i="20"/>
  <c r="AE258" i="20"/>
  <c r="AD258" i="20"/>
  <c r="AC258" i="20"/>
  <c r="AB258" i="20"/>
  <c r="AA258" i="20"/>
  <c r="Z258" i="20"/>
  <c r="Y258" i="20"/>
  <c r="X258" i="20"/>
  <c r="W258" i="20"/>
  <c r="V258" i="20"/>
  <c r="U258" i="20"/>
  <c r="T258" i="20"/>
  <c r="S258" i="20"/>
  <c r="R258" i="20"/>
  <c r="Q258" i="20"/>
  <c r="P258" i="20"/>
  <c r="O258" i="20"/>
  <c r="N258" i="20"/>
  <c r="M258" i="20"/>
  <c r="L258" i="20"/>
  <c r="K258" i="20"/>
  <c r="J258" i="20"/>
  <c r="I258" i="20"/>
  <c r="H258" i="20"/>
  <c r="G258" i="20"/>
  <c r="F258" i="20"/>
  <c r="E258" i="20"/>
  <c r="D258" i="20"/>
  <c r="C258" i="20"/>
  <c r="B258" i="20"/>
  <c r="A258" i="20"/>
  <c r="AF257" i="20"/>
  <c r="AE257" i="20"/>
  <c r="AD257" i="20"/>
  <c r="AC257" i="20"/>
  <c r="AB257" i="20"/>
  <c r="AA257" i="20"/>
  <c r="Z257" i="20"/>
  <c r="Y257" i="20"/>
  <c r="X257" i="20"/>
  <c r="W257" i="20"/>
  <c r="V257" i="20"/>
  <c r="U257" i="20"/>
  <c r="T257" i="20"/>
  <c r="S257" i="20"/>
  <c r="R257" i="20"/>
  <c r="Q257" i="20"/>
  <c r="P257" i="20"/>
  <c r="O257" i="20"/>
  <c r="N257" i="20"/>
  <c r="M257" i="20"/>
  <c r="L257" i="20"/>
  <c r="K257" i="20"/>
  <c r="J257" i="20"/>
  <c r="I257" i="20"/>
  <c r="H257" i="20"/>
  <c r="G257" i="20"/>
  <c r="F257" i="20"/>
  <c r="E257" i="20"/>
  <c r="D257" i="20"/>
  <c r="C257" i="20"/>
  <c r="B257" i="20"/>
  <c r="A257" i="20"/>
  <c r="AE256" i="20"/>
  <c r="AD256" i="20"/>
  <c r="AC256" i="20"/>
  <c r="AB256" i="20"/>
  <c r="AA256" i="20"/>
  <c r="Z256" i="20"/>
  <c r="Y256" i="20"/>
  <c r="X256" i="20"/>
  <c r="W256" i="20"/>
  <c r="V256" i="20"/>
  <c r="U256" i="20"/>
  <c r="T256" i="20"/>
  <c r="S256" i="20"/>
  <c r="R256" i="20"/>
  <c r="Q256" i="20"/>
  <c r="P256" i="20"/>
  <c r="B256" i="20"/>
  <c r="S231" i="20"/>
  <c r="AG221" i="20"/>
  <c r="AG55" i="20" s="1"/>
  <c r="AG56" i="20" s="1"/>
  <c r="AG3" i="20" s="1"/>
  <c r="AF221" i="20"/>
  <c r="AE221" i="20"/>
  <c r="AD221" i="20"/>
  <c r="AC221" i="20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C221" i="20"/>
  <c r="D220" i="20"/>
  <c r="C256" i="20" s="1"/>
  <c r="B220" i="20"/>
  <c r="AF256" i="20" s="1"/>
  <c r="E219" i="20"/>
  <c r="F219" i="20" s="1"/>
  <c r="G219" i="20" s="1"/>
  <c r="H219" i="20" s="1"/>
  <c r="I219" i="20" s="1"/>
  <c r="J219" i="20" s="1"/>
  <c r="K219" i="20" s="1"/>
  <c r="L219" i="20" s="1"/>
  <c r="M219" i="20" s="1"/>
  <c r="N219" i="20" s="1"/>
  <c r="O219" i="20" s="1"/>
  <c r="P219" i="20" s="1"/>
  <c r="D219" i="20"/>
  <c r="B219" i="20"/>
  <c r="D218" i="20"/>
  <c r="E218" i="20" s="1"/>
  <c r="F218" i="20" s="1"/>
  <c r="G218" i="20" s="1"/>
  <c r="H218" i="20" s="1"/>
  <c r="I218" i="20" s="1"/>
  <c r="J218" i="20" s="1"/>
  <c r="K218" i="20" s="1"/>
  <c r="L218" i="20" s="1"/>
  <c r="M218" i="20" s="1"/>
  <c r="N218" i="20" s="1"/>
  <c r="O218" i="20" s="1"/>
  <c r="P218" i="20" s="1"/>
  <c r="B218" i="20"/>
  <c r="D217" i="20"/>
  <c r="E217" i="20" s="1"/>
  <c r="F217" i="20" s="1"/>
  <c r="G217" i="20" s="1"/>
  <c r="H217" i="20" s="1"/>
  <c r="I217" i="20" s="1"/>
  <c r="J217" i="20" s="1"/>
  <c r="K217" i="20" s="1"/>
  <c r="L217" i="20" s="1"/>
  <c r="M217" i="20" s="1"/>
  <c r="N217" i="20" s="1"/>
  <c r="O217" i="20" s="1"/>
  <c r="P217" i="20" s="1"/>
  <c r="B217" i="20"/>
  <c r="D216" i="20"/>
  <c r="E216" i="20" s="1"/>
  <c r="F216" i="20" s="1"/>
  <c r="G216" i="20" s="1"/>
  <c r="H216" i="20" s="1"/>
  <c r="I216" i="20" s="1"/>
  <c r="J216" i="20" s="1"/>
  <c r="K216" i="20" s="1"/>
  <c r="L216" i="20" s="1"/>
  <c r="M216" i="20" s="1"/>
  <c r="N216" i="20" s="1"/>
  <c r="O216" i="20" s="1"/>
  <c r="P216" i="20" s="1"/>
  <c r="B216" i="20"/>
  <c r="D215" i="20"/>
  <c r="B215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B213" i="20"/>
  <c r="AH106" i="20"/>
  <c r="AI106" i="20" s="1"/>
  <c r="AH105" i="20"/>
  <c r="AI105" i="20" s="1"/>
  <c r="AH104" i="20"/>
  <c r="AI104" i="20" s="1"/>
  <c r="AH103" i="20"/>
  <c r="AI103" i="20" s="1"/>
  <c r="AH102" i="20"/>
  <c r="AI102" i="20" s="1"/>
  <c r="AH101" i="20"/>
  <c r="AI101" i="20" s="1"/>
  <c r="AH100" i="20"/>
  <c r="AI100" i="20" s="1"/>
  <c r="AH99" i="20"/>
  <c r="AI99" i="20" s="1"/>
  <c r="AF98" i="20"/>
  <c r="AE98" i="20"/>
  <c r="AD98" i="20"/>
  <c r="AC98" i="20"/>
  <c r="AB98" i="20"/>
  <c r="Z98" i="20"/>
  <c r="Y98" i="20"/>
  <c r="X98" i="20"/>
  <c r="W98" i="20"/>
  <c r="V98" i="20"/>
  <c r="U98" i="20"/>
  <c r="T98" i="20"/>
  <c r="S98" i="20"/>
  <c r="R98" i="20"/>
  <c r="Q98" i="20"/>
  <c r="D98" i="20"/>
  <c r="C98" i="20"/>
  <c r="AI97" i="20"/>
  <c r="AH97" i="20"/>
  <c r="AI96" i="20"/>
  <c r="AH96" i="20"/>
  <c r="AI95" i="20"/>
  <c r="AH95" i="20"/>
  <c r="AI94" i="20"/>
  <c r="AH94" i="20"/>
  <c r="AI93" i="20"/>
  <c r="AH93" i="20"/>
  <c r="AI92" i="20"/>
  <c r="AH92" i="20"/>
  <c r="AI91" i="20"/>
  <c r="AH91" i="20"/>
  <c r="AI90" i="20"/>
  <c r="AH90" i="20"/>
  <c r="AI89" i="20"/>
  <c r="AH89" i="20"/>
  <c r="AI86" i="20"/>
  <c r="AH86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AF81" i="20"/>
  <c r="AF87" i="20" s="1"/>
  <c r="AE81" i="20"/>
  <c r="AD81" i="20"/>
  <c r="AC81" i="20"/>
  <c r="AB81" i="20"/>
  <c r="AA81" i="20"/>
  <c r="Z81" i="20"/>
  <c r="Y81" i="20"/>
  <c r="Y87" i="20" s="1"/>
  <c r="X81" i="20"/>
  <c r="X87" i="20" s="1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C87" i="20" s="1"/>
  <c r="B81" i="20"/>
  <c r="AI78" i="20"/>
  <c r="AH78" i="20"/>
  <c r="AI76" i="20"/>
  <c r="AH76" i="20"/>
  <c r="AG76" i="20"/>
  <c r="AI75" i="20"/>
  <c r="AH75" i="20"/>
  <c r="AI74" i="20"/>
  <c r="AH74" i="20"/>
  <c r="AI73" i="20"/>
  <c r="AH73" i="20"/>
  <c r="AG72" i="20"/>
  <c r="AF72" i="20"/>
  <c r="AE5" i="20" s="1"/>
  <c r="AE72" i="20"/>
  <c r="AD5" i="20" s="1"/>
  <c r="AD72" i="20"/>
  <c r="AC5" i="20" s="1"/>
  <c r="AC72" i="20"/>
  <c r="AB5" i="20" s="1"/>
  <c r="AB72" i="20"/>
  <c r="AA5" i="20" s="1"/>
  <c r="Z5" i="20"/>
  <c r="Z72" i="20"/>
  <c r="Y5" i="20" s="1"/>
  <c r="Y72" i="20"/>
  <c r="X5" i="20" s="1"/>
  <c r="X72" i="20"/>
  <c r="W5" i="20" s="1"/>
  <c r="W72" i="20"/>
  <c r="V72" i="20"/>
  <c r="U5" i="20" s="1"/>
  <c r="U72" i="20"/>
  <c r="T72" i="20"/>
  <c r="S72" i="20"/>
  <c r="R5" i="20" s="1"/>
  <c r="R72" i="20"/>
  <c r="Q5" i="20" s="1"/>
  <c r="Q72" i="20"/>
  <c r="P5" i="20" s="1"/>
  <c r="P72" i="20"/>
  <c r="O5" i="20" s="1"/>
  <c r="O72" i="20"/>
  <c r="N5" i="20" s="1"/>
  <c r="N72" i="20"/>
  <c r="M72" i="20"/>
  <c r="L5" i="20" s="1"/>
  <c r="L72" i="20"/>
  <c r="K5" i="20" s="1"/>
  <c r="K72" i="20"/>
  <c r="J72" i="20"/>
  <c r="I5" i="20" s="1"/>
  <c r="I72" i="20"/>
  <c r="H5" i="20" s="1"/>
  <c r="H72" i="20"/>
  <c r="G5" i="20" s="1"/>
  <c r="G72" i="20"/>
  <c r="F5" i="20" s="1"/>
  <c r="F72" i="20"/>
  <c r="E5" i="20" s="1"/>
  <c r="E72" i="20"/>
  <c r="D5" i="20" s="1"/>
  <c r="D72" i="20"/>
  <c r="C5" i="20" s="1"/>
  <c r="C72" i="20"/>
  <c r="B5" i="20" s="1"/>
  <c r="B72" i="20"/>
  <c r="AI71" i="20"/>
  <c r="AH71" i="20"/>
  <c r="AI70" i="20"/>
  <c r="AH70" i="20"/>
  <c r="AI69" i="20"/>
  <c r="AH69" i="20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G60" i="20"/>
  <c r="AG4" i="20" s="1"/>
  <c r="AF60" i="20"/>
  <c r="AE60" i="20"/>
  <c r="AD60" i="20"/>
  <c r="AC60" i="20"/>
  <c r="AB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I59" i="20"/>
  <c r="AH59" i="20"/>
  <c r="AI58" i="20"/>
  <c r="AH58" i="20"/>
  <c r="AI57" i="20"/>
  <c r="AH57" i="20"/>
  <c r="AF56" i="20"/>
  <c r="AE56" i="20"/>
  <c r="AD56" i="20"/>
  <c r="AC56" i="20"/>
  <c r="AB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G42" i="20"/>
  <c r="AF42" i="20"/>
  <c r="AE42" i="20"/>
  <c r="AD42" i="20"/>
  <c r="AC42" i="20"/>
  <c r="AB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I41" i="20"/>
  <c r="AH41" i="20"/>
  <c r="AI40" i="20"/>
  <c r="AH40" i="20"/>
  <c r="AI39" i="20"/>
  <c r="AH39" i="20"/>
  <c r="AG38" i="20"/>
  <c r="AG77" i="20" s="1"/>
  <c r="AF38" i="20"/>
  <c r="AE38" i="20"/>
  <c r="AD38" i="20"/>
  <c r="AC38" i="20"/>
  <c r="AB38" i="20"/>
  <c r="Z38" i="20"/>
  <c r="Y38" i="20"/>
  <c r="X38" i="20"/>
  <c r="W38" i="20"/>
  <c r="V38" i="20"/>
  <c r="U38" i="20"/>
  <c r="T38" i="20"/>
  <c r="S38" i="20"/>
  <c r="S77" i="20" s="1"/>
  <c r="S79" i="20" s="1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V5" i="20"/>
  <c r="M5" i="20"/>
  <c r="J5" i="20"/>
  <c r="K4" i="20"/>
  <c r="B4" i="20"/>
  <c r="S232" i="20" s="1"/>
  <c r="AG2" i="20"/>
  <c r="AA100" i="19"/>
  <c r="Z100" i="19"/>
  <c r="Z37" i="19"/>
  <c r="Y100" i="19"/>
  <c r="Y37" i="19"/>
  <c r="X37" i="19"/>
  <c r="W100" i="19"/>
  <c r="W37" i="19"/>
  <c r="V100" i="19"/>
  <c r="V37" i="19"/>
  <c r="U100" i="19"/>
  <c r="U63" i="19"/>
  <c r="U37" i="19"/>
  <c r="T100" i="19"/>
  <c r="T63" i="19"/>
  <c r="T37" i="19"/>
  <c r="S100" i="19"/>
  <c r="S37" i="19"/>
  <c r="R37" i="19"/>
  <c r="Q37" i="19"/>
  <c r="P37" i="19"/>
  <c r="O37" i="19"/>
  <c r="N37" i="19"/>
  <c r="M37" i="19"/>
  <c r="L37" i="19"/>
  <c r="K37" i="19"/>
  <c r="J37" i="19"/>
  <c r="H37" i="19"/>
  <c r="G37" i="19"/>
  <c r="F37" i="19"/>
  <c r="E4" i="22"/>
  <c r="E4" i="21"/>
  <c r="E4" i="20"/>
  <c r="H4" i="22" l="1"/>
  <c r="Z236" i="22"/>
  <c r="H7" i="22"/>
  <c r="P80" i="22"/>
  <c r="AH236" i="22"/>
  <c r="P7" i="22"/>
  <c r="X80" i="22"/>
  <c r="AP236" i="22"/>
  <c r="X7" i="22"/>
  <c r="AF80" i="22"/>
  <c r="AX236" i="22"/>
  <c r="AF7" i="22"/>
  <c r="AH77" i="22"/>
  <c r="B79" i="22"/>
  <c r="AI77" i="22"/>
  <c r="J80" i="22"/>
  <c r="AB236" i="22"/>
  <c r="J7" i="22"/>
  <c r="R80" i="22"/>
  <c r="AJ236" i="22"/>
  <c r="R7" i="22"/>
  <c r="Z80" i="22"/>
  <c r="AR236" i="22"/>
  <c r="Z7" i="22"/>
  <c r="C80" i="22"/>
  <c r="C7" i="22"/>
  <c r="U236" i="22"/>
  <c r="K7" i="22"/>
  <c r="K80" i="22"/>
  <c r="AC236" i="22"/>
  <c r="S80" i="22"/>
  <c r="S7" i="22"/>
  <c r="AK236" i="22"/>
  <c r="AA80" i="22"/>
  <c r="AS236" i="22"/>
  <c r="AA7" i="22"/>
  <c r="H216" i="22"/>
  <c r="G98" i="22"/>
  <c r="G222" i="22"/>
  <c r="I80" i="22"/>
  <c r="I7" i="22"/>
  <c r="AA236" i="22"/>
  <c r="D80" i="22"/>
  <c r="V236" i="22"/>
  <c r="D7" i="22"/>
  <c r="L80" i="22"/>
  <c r="AD236" i="22"/>
  <c r="L7" i="22"/>
  <c r="T80" i="22"/>
  <c r="AL236" i="22"/>
  <c r="T7" i="22"/>
  <c r="AB80" i="22"/>
  <c r="AT236" i="22"/>
  <c r="AB7" i="22"/>
  <c r="Q80" i="22"/>
  <c r="Q7" i="22"/>
  <c r="AI236" i="22"/>
  <c r="W236" i="22"/>
  <c r="E7" i="22"/>
  <c r="E80" i="22"/>
  <c r="AE236" i="22"/>
  <c r="M7" i="22"/>
  <c r="M80" i="22"/>
  <c r="AM236" i="22"/>
  <c r="U7" i="22"/>
  <c r="U80" i="22"/>
  <c r="AU236" i="22"/>
  <c r="AC7" i="22"/>
  <c r="AC80" i="22"/>
  <c r="Y80" i="22"/>
  <c r="Y7" i="22"/>
  <c r="AQ236" i="22"/>
  <c r="X236" i="22"/>
  <c r="F7" i="22"/>
  <c r="F80" i="22"/>
  <c r="AF236" i="22"/>
  <c r="N7" i="22"/>
  <c r="N80" i="22"/>
  <c r="AN236" i="22"/>
  <c r="V7" i="22"/>
  <c r="V80" i="22"/>
  <c r="AV236" i="22"/>
  <c r="AD7" i="22"/>
  <c r="AD80" i="22"/>
  <c r="Y236" i="22"/>
  <c r="G7" i="22"/>
  <c r="C231" i="22"/>
  <c r="B231" i="22"/>
  <c r="G80" i="22"/>
  <c r="AG236" i="22"/>
  <c r="O7" i="22"/>
  <c r="O80" i="22"/>
  <c r="AO236" i="22"/>
  <c r="W7" i="22"/>
  <c r="W80" i="22"/>
  <c r="AW236" i="22"/>
  <c r="AE7" i="22"/>
  <c r="AE80" i="22"/>
  <c r="AI38" i="22"/>
  <c r="AI42" i="22"/>
  <c r="AI84" i="22"/>
  <c r="AH85" i="22"/>
  <c r="D233" i="22"/>
  <c r="F222" i="22"/>
  <c r="H87" i="22"/>
  <c r="H88" i="22" s="1"/>
  <c r="G88" i="22"/>
  <c r="O88" i="22"/>
  <c r="W88" i="22"/>
  <c r="AE88" i="22"/>
  <c r="AH56" i="22"/>
  <c r="AH60" i="22"/>
  <c r="AH72" i="22"/>
  <c r="I88" i="22"/>
  <c r="Q88" i="22"/>
  <c r="Y88" i="22"/>
  <c r="AI72" i="22"/>
  <c r="AH82" i="22"/>
  <c r="B88" i="22"/>
  <c r="J88" i="22"/>
  <c r="R88" i="22"/>
  <c r="Z88" i="22"/>
  <c r="I221" i="22"/>
  <c r="AH83" i="22"/>
  <c r="AH38" i="22"/>
  <c r="AF88" i="21"/>
  <c r="AE88" i="21"/>
  <c r="AE77" i="21"/>
  <c r="AE79" i="21" s="1"/>
  <c r="AE80" i="21" s="1"/>
  <c r="AF77" i="21"/>
  <c r="AF79" i="21" s="1"/>
  <c r="AF80" i="21" s="1"/>
  <c r="AD87" i="21"/>
  <c r="AD88" i="21" s="1"/>
  <c r="AD77" i="21"/>
  <c r="AD79" i="21" s="1"/>
  <c r="AC87" i="21"/>
  <c r="AC88" i="21" s="1"/>
  <c r="AB5" i="21"/>
  <c r="AC77" i="21"/>
  <c r="AC79" i="21" s="1"/>
  <c r="AB87" i="21"/>
  <c r="AB88" i="21" s="1"/>
  <c r="AB77" i="21"/>
  <c r="AB79" i="21" s="1"/>
  <c r="AB7" i="21" s="1"/>
  <c r="AA87" i="21"/>
  <c r="AA88" i="21" s="1"/>
  <c r="AA77" i="21"/>
  <c r="AA79" i="21" s="1"/>
  <c r="AS235" i="21" s="1"/>
  <c r="Z87" i="21"/>
  <c r="Z77" i="21"/>
  <c r="Z79" i="21" s="1"/>
  <c r="Y87" i="21"/>
  <c r="Y77" i="21"/>
  <c r="Y79" i="21" s="1"/>
  <c r="Y80" i="21" s="1"/>
  <c r="X87" i="21"/>
  <c r="X88" i="21"/>
  <c r="X77" i="21"/>
  <c r="X79" i="21" s="1"/>
  <c r="AP235" i="21" s="1"/>
  <c r="W87" i="21"/>
  <c r="W88" i="21"/>
  <c r="W77" i="21"/>
  <c r="W79" i="21" s="1"/>
  <c r="V88" i="21"/>
  <c r="V77" i="21"/>
  <c r="V79" i="21" s="1"/>
  <c r="AN235" i="21" s="1"/>
  <c r="U87" i="21"/>
  <c r="U88" i="21" s="1"/>
  <c r="U77" i="21"/>
  <c r="U79" i="21" s="1"/>
  <c r="AM235" i="21" s="1"/>
  <c r="T77" i="21"/>
  <c r="T79" i="21" s="1"/>
  <c r="T80" i="21" s="1"/>
  <c r="T87" i="21"/>
  <c r="T88" i="21" s="1"/>
  <c r="S87" i="21"/>
  <c r="S88" i="21"/>
  <c r="S77" i="21"/>
  <c r="S79" i="21" s="1"/>
  <c r="S80" i="21" s="1"/>
  <c r="R87" i="21"/>
  <c r="R77" i="21"/>
  <c r="R79" i="21" s="1"/>
  <c r="R80" i="21" s="1"/>
  <c r="Q77" i="21"/>
  <c r="Q79" i="21" s="1"/>
  <c r="Q80" i="21" s="1"/>
  <c r="P77" i="21"/>
  <c r="P79" i="21" s="1"/>
  <c r="P80" i="21" s="1"/>
  <c r="P87" i="21"/>
  <c r="P88" i="21" s="1"/>
  <c r="O87" i="21"/>
  <c r="O88" i="21" s="1"/>
  <c r="N5" i="21"/>
  <c r="O77" i="21"/>
  <c r="O79" i="21" s="1"/>
  <c r="N87" i="21"/>
  <c r="N88" i="21"/>
  <c r="M77" i="21"/>
  <c r="M79" i="21" s="1"/>
  <c r="AE235" i="21" s="1"/>
  <c r="M87" i="21"/>
  <c r="M88" i="21" s="1"/>
  <c r="L5" i="21"/>
  <c r="L77" i="21"/>
  <c r="L79" i="21" s="1"/>
  <c r="L80" i="21" s="1"/>
  <c r="J77" i="21"/>
  <c r="J79" i="21" s="1"/>
  <c r="I87" i="21"/>
  <c r="AH42" i="21"/>
  <c r="AH84" i="21"/>
  <c r="K77" i="21"/>
  <c r="K79" i="21" s="1"/>
  <c r="G87" i="21"/>
  <c r="G88" i="21" s="1"/>
  <c r="G77" i="21"/>
  <c r="G79" i="21" s="1"/>
  <c r="G7" i="21" s="1"/>
  <c r="K87" i="21"/>
  <c r="K88" i="21" s="1"/>
  <c r="H77" i="21"/>
  <c r="H79" i="21" s="1"/>
  <c r="H7" i="21" s="1"/>
  <c r="L87" i="21"/>
  <c r="L88" i="21" s="1"/>
  <c r="I77" i="21"/>
  <c r="I79" i="21" s="1"/>
  <c r="AI42" i="21"/>
  <c r="F87" i="21"/>
  <c r="F88" i="21" s="1"/>
  <c r="AI85" i="21"/>
  <c r="F77" i="21"/>
  <c r="F79" i="21" s="1"/>
  <c r="X235" i="21" s="1"/>
  <c r="AI83" i="21"/>
  <c r="AH81" i="21"/>
  <c r="E87" i="21"/>
  <c r="E88" i="21" s="1"/>
  <c r="D5" i="21"/>
  <c r="AI60" i="21"/>
  <c r="E77" i="21"/>
  <c r="E79" i="21" s="1"/>
  <c r="W235" i="21" s="1"/>
  <c r="AI82" i="21"/>
  <c r="D87" i="21"/>
  <c r="D88" i="21" s="1"/>
  <c r="AH56" i="21"/>
  <c r="D77" i="21"/>
  <c r="D79" i="21" s="1"/>
  <c r="V235" i="21" s="1"/>
  <c r="AI37" i="21"/>
  <c r="AI81" i="21"/>
  <c r="C87" i="21"/>
  <c r="C88" i="21" s="1"/>
  <c r="C77" i="21"/>
  <c r="C79" i="21" s="1"/>
  <c r="U235" i="21" s="1"/>
  <c r="B88" i="21"/>
  <c r="B87" i="21"/>
  <c r="B80" i="21" s="1"/>
  <c r="H4" i="21"/>
  <c r="Y7" i="21"/>
  <c r="J80" i="21"/>
  <c r="AB235" i="21"/>
  <c r="J7" i="21"/>
  <c r="Z80" i="21"/>
  <c r="AR235" i="21"/>
  <c r="Z7" i="21"/>
  <c r="C7" i="21"/>
  <c r="S7" i="21"/>
  <c r="AA80" i="21"/>
  <c r="AA7" i="21"/>
  <c r="F98" i="21"/>
  <c r="G215" i="21"/>
  <c r="F221" i="21"/>
  <c r="AJ235" i="21"/>
  <c r="AG6" i="21"/>
  <c r="AU235" i="21"/>
  <c r="AC7" i="21"/>
  <c r="AC80" i="21"/>
  <c r="AF235" i="21"/>
  <c r="N7" i="21"/>
  <c r="N80" i="21"/>
  <c r="V7" i="21"/>
  <c r="V80" i="21"/>
  <c r="AV235" i="21"/>
  <c r="AD7" i="21"/>
  <c r="AD80" i="21"/>
  <c r="AG235" i="21"/>
  <c r="O7" i="21"/>
  <c r="O80" i="21"/>
  <c r="AO235" i="21"/>
  <c r="W7" i="21"/>
  <c r="W80" i="21"/>
  <c r="AH235" i="21"/>
  <c r="AI38" i="21"/>
  <c r="AI84" i="21"/>
  <c r="AH85" i="21"/>
  <c r="E221" i="21"/>
  <c r="D232" i="21"/>
  <c r="H87" i="21"/>
  <c r="H88" i="21" s="1"/>
  <c r="AH60" i="21"/>
  <c r="Q88" i="21"/>
  <c r="H220" i="21"/>
  <c r="AI56" i="21"/>
  <c r="AI72" i="21"/>
  <c r="AH82" i="21"/>
  <c r="J88" i="21"/>
  <c r="R88" i="21"/>
  <c r="Z88" i="21"/>
  <c r="AH72" i="21"/>
  <c r="I88" i="21"/>
  <c r="Y88" i="21"/>
  <c r="AH83" i="21"/>
  <c r="AH38" i="21"/>
  <c r="AE87" i="20"/>
  <c r="AD87" i="20"/>
  <c r="AD77" i="20"/>
  <c r="AD79" i="20" s="1"/>
  <c r="AC87" i="20"/>
  <c r="AC88" i="20" s="1"/>
  <c r="AC77" i="20"/>
  <c r="AC79" i="20" s="1"/>
  <c r="AB87" i="20"/>
  <c r="AB88" i="20" s="1"/>
  <c r="Z87" i="20"/>
  <c r="Z77" i="20"/>
  <c r="Z79" i="20" s="1"/>
  <c r="Y77" i="20"/>
  <c r="Y79" i="20" s="1"/>
  <c r="W87" i="20"/>
  <c r="V87" i="20"/>
  <c r="V77" i="20"/>
  <c r="V79" i="20" s="1"/>
  <c r="U87" i="20"/>
  <c r="U88" i="20" s="1"/>
  <c r="T5" i="20"/>
  <c r="U77" i="20"/>
  <c r="U79" i="20" s="1"/>
  <c r="AH37" i="20"/>
  <c r="T87" i="20"/>
  <c r="T88" i="20" s="1"/>
  <c r="S5" i="20"/>
  <c r="T77" i="20"/>
  <c r="T79" i="20" s="1"/>
  <c r="S87" i="20"/>
  <c r="R87" i="20"/>
  <c r="R77" i="20"/>
  <c r="R79" i="20" s="1"/>
  <c r="Q87" i="20"/>
  <c r="Q77" i="20"/>
  <c r="Q79" i="20" s="1"/>
  <c r="P87" i="20"/>
  <c r="O87" i="20"/>
  <c r="N87" i="20"/>
  <c r="N77" i="20"/>
  <c r="N79" i="20" s="1"/>
  <c r="M87" i="20"/>
  <c r="M88" i="20" s="1"/>
  <c r="M77" i="20"/>
  <c r="M79" i="20" s="1"/>
  <c r="M80" i="20" s="1"/>
  <c r="L77" i="20"/>
  <c r="L79" i="20" s="1"/>
  <c r="L87" i="20"/>
  <c r="L88" i="20" s="1"/>
  <c r="K87" i="20"/>
  <c r="K77" i="20"/>
  <c r="K79" i="20" s="1"/>
  <c r="J87" i="20"/>
  <c r="J88" i="20" s="1"/>
  <c r="J77" i="20"/>
  <c r="J79" i="20" s="1"/>
  <c r="I87" i="20"/>
  <c r="I77" i="20"/>
  <c r="I79" i="20" s="1"/>
  <c r="AA235" i="20" s="1"/>
  <c r="H87" i="20"/>
  <c r="G87" i="20"/>
  <c r="G88" i="20" s="1"/>
  <c r="F87" i="20"/>
  <c r="F88" i="20" s="1"/>
  <c r="B221" i="20"/>
  <c r="D221" i="20"/>
  <c r="E215" i="20"/>
  <c r="N88" i="20"/>
  <c r="V88" i="20"/>
  <c r="AD88" i="20"/>
  <c r="AI85" i="20"/>
  <c r="O88" i="20"/>
  <c r="W88" i="20"/>
  <c r="AE88" i="20"/>
  <c r="H88" i="20"/>
  <c r="X88" i="20"/>
  <c r="AF88" i="20"/>
  <c r="E220" i="20"/>
  <c r="AB77" i="20"/>
  <c r="AB79" i="20" s="1"/>
  <c r="AB80" i="20" s="1"/>
  <c r="G77" i="20"/>
  <c r="G79" i="20" s="1"/>
  <c r="Y235" i="20" s="1"/>
  <c r="O77" i="20"/>
  <c r="O79" i="20" s="1"/>
  <c r="O7" i="20" s="1"/>
  <c r="W77" i="20"/>
  <c r="W79" i="20" s="1"/>
  <c r="AO235" i="20" s="1"/>
  <c r="AE77" i="20"/>
  <c r="AE79" i="20" s="1"/>
  <c r="AW235" i="20" s="1"/>
  <c r="H77" i="20"/>
  <c r="H79" i="20" s="1"/>
  <c r="Z235" i="20" s="1"/>
  <c r="P77" i="20"/>
  <c r="P79" i="20" s="1"/>
  <c r="P7" i="20" s="1"/>
  <c r="X77" i="20"/>
  <c r="X79" i="20" s="1"/>
  <c r="X80" i="20" s="1"/>
  <c r="AF77" i="20"/>
  <c r="AF79" i="20" s="1"/>
  <c r="AX235" i="20" s="1"/>
  <c r="F77" i="20"/>
  <c r="F79" i="20" s="1"/>
  <c r="X235" i="20" s="1"/>
  <c r="AI83" i="20"/>
  <c r="E87" i="20"/>
  <c r="E88" i="20" s="1"/>
  <c r="E77" i="20"/>
  <c r="E79" i="20" s="1"/>
  <c r="E7" i="20" s="1"/>
  <c r="D87" i="20"/>
  <c r="D88" i="20" s="1"/>
  <c r="AI82" i="20"/>
  <c r="D77" i="20"/>
  <c r="D79" i="20" s="1"/>
  <c r="V235" i="20" s="1"/>
  <c r="AH60" i="20"/>
  <c r="AI81" i="20"/>
  <c r="AH72" i="20"/>
  <c r="AH84" i="20"/>
  <c r="AH56" i="20"/>
  <c r="AH42" i="20"/>
  <c r="C77" i="20"/>
  <c r="C79" i="20" s="1"/>
  <c r="U235" i="20" s="1"/>
  <c r="B87" i="20"/>
  <c r="B77" i="20"/>
  <c r="H4" i="20"/>
  <c r="AG235" i="20"/>
  <c r="W7" i="20"/>
  <c r="I80" i="20"/>
  <c r="R80" i="20"/>
  <c r="AJ235" i="20"/>
  <c r="R7" i="20"/>
  <c r="Z80" i="20"/>
  <c r="AR235" i="20"/>
  <c r="Z7" i="20"/>
  <c r="AQ235" i="20"/>
  <c r="Y7" i="20"/>
  <c r="Y80" i="20"/>
  <c r="K80" i="20"/>
  <c r="AC235" i="20"/>
  <c r="K7" i="20"/>
  <c r="S80" i="20"/>
  <c r="AK235" i="20"/>
  <c r="S7" i="20"/>
  <c r="AS235" i="20"/>
  <c r="AA7" i="20"/>
  <c r="AG79" i="20"/>
  <c r="D80" i="20"/>
  <c r="L80" i="20"/>
  <c r="L7" i="20"/>
  <c r="AD235" i="20"/>
  <c r="T80" i="20"/>
  <c r="AL235" i="20"/>
  <c r="T7" i="20"/>
  <c r="Q80" i="20"/>
  <c r="AI235" i="20"/>
  <c r="Q7" i="20"/>
  <c r="AG6" i="20"/>
  <c r="M7" i="20"/>
  <c r="AM235" i="20"/>
  <c r="U7" i="20"/>
  <c r="U80" i="20"/>
  <c r="AU235" i="20"/>
  <c r="AC7" i="20"/>
  <c r="AC80" i="20"/>
  <c r="AF235" i="20"/>
  <c r="N7" i="20"/>
  <c r="N80" i="20"/>
  <c r="AN235" i="20"/>
  <c r="V7" i="20"/>
  <c r="V80" i="20"/>
  <c r="AV235" i="20"/>
  <c r="AD7" i="20"/>
  <c r="AD80" i="20"/>
  <c r="C88" i="20"/>
  <c r="K88" i="20"/>
  <c r="S88" i="20"/>
  <c r="AH81" i="20"/>
  <c r="I88" i="20"/>
  <c r="Q88" i="20"/>
  <c r="Y88" i="20"/>
  <c r="AI38" i="20"/>
  <c r="AI42" i="20"/>
  <c r="AI84" i="20"/>
  <c r="AH85" i="20"/>
  <c r="B98" i="20"/>
  <c r="D232" i="20"/>
  <c r="AI56" i="20"/>
  <c r="AI60" i="20"/>
  <c r="AI72" i="20"/>
  <c r="AH82" i="20"/>
  <c r="B88" i="20"/>
  <c r="R88" i="20"/>
  <c r="Z88" i="20"/>
  <c r="AF5" i="20"/>
  <c r="AH83" i="20"/>
  <c r="AH38" i="20"/>
  <c r="K6" i="22" l="1"/>
  <c r="T7" i="21"/>
  <c r="AL235" i="21"/>
  <c r="X80" i="21"/>
  <c r="AK235" i="21"/>
  <c r="AB80" i="21"/>
  <c r="AW235" i="21"/>
  <c r="AQ235" i="21"/>
  <c r="AF7" i="21"/>
  <c r="X7" i="21"/>
  <c r="AT235" i="21"/>
  <c r="U80" i="21"/>
  <c r="U7" i="21"/>
  <c r="Q7" i="21"/>
  <c r="AI235" i="21"/>
  <c r="P7" i="21"/>
  <c r="R7" i="21"/>
  <c r="AX235" i="21"/>
  <c r="AE7" i="21"/>
  <c r="AI87" i="22"/>
  <c r="AH87" i="22"/>
  <c r="B80" i="22"/>
  <c r="AI79" i="22"/>
  <c r="T236" i="22"/>
  <c r="B7" i="22"/>
  <c r="A7" i="22" s="1"/>
  <c r="AH79" i="22"/>
  <c r="H257" i="22"/>
  <c r="J221" i="22"/>
  <c r="AI88" i="22"/>
  <c r="AH88" i="22"/>
  <c r="H80" i="22"/>
  <c r="I216" i="22"/>
  <c r="H98" i="22"/>
  <c r="H222" i="22"/>
  <c r="M80" i="21"/>
  <c r="M7" i="21"/>
  <c r="L7" i="21"/>
  <c r="AD235" i="21"/>
  <c r="K80" i="21"/>
  <c r="K7" i="21"/>
  <c r="AC235" i="21"/>
  <c r="Z235" i="21"/>
  <c r="B230" i="21"/>
  <c r="C230" i="21"/>
  <c r="Y235" i="21"/>
  <c r="I7" i="21"/>
  <c r="G80" i="21"/>
  <c r="AA235" i="21"/>
  <c r="I80" i="21"/>
  <c r="F80" i="21"/>
  <c r="F7" i="21"/>
  <c r="E80" i="21"/>
  <c r="E7" i="21"/>
  <c r="D7" i="21"/>
  <c r="D80" i="21"/>
  <c r="AH77" i="21"/>
  <c r="AI77" i="21"/>
  <c r="C80" i="21"/>
  <c r="AH87" i="21"/>
  <c r="AI88" i="21"/>
  <c r="AH88" i="21"/>
  <c r="H80" i="21"/>
  <c r="AI79" i="21"/>
  <c r="T235" i="21"/>
  <c r="B7" i="21"/>
  <c r="AH79" i="21"/>
  <c r="G256" i="21"/>
  <c r="I220" i="21"/>
  <c r="AI87" i="21"/>
  <c r="H215" i="21"/>
  <c r="G98" i="21"/>
  <c r="G221" i="21"/>
  <c r="AF7" i="20"/>
  <c r="AF80" i="20"/>
  <c r="AE80" i="20"/>
  <c r="AT235" i="20"/>
  <c r="AB7" i="20"/>
  <c r="W80" i="20"/>
  <c r="AH235" i="20"/>
  <c r="P80" i="20"/>
  <c r="O80" i="20"/>
  <c r="AE235" i="20"/>
  <c r="J80" i="20"/>
  <c r="J7" i="20"/>
  <c r="AB235" i="20"/>
  <c r="I7" i="20"/>
  <c r="G80" i="20"/>
  <c r="H7" i="20"/>
  <c r="H80" i="20"/>
  <c r="B230" i="20"/>
  <c r="C230" i="20"/>
  <c r="G7" i="20"/>
  <c r="AI87" i="20"/>
  <c r="C7" i="20"/>
  <c r="E221" i="20"/>
  <c r="E98" i="20"/>
  <c r="F215" i="20"/>
  <c r="AH87" i="20"/>
  <c r="D256" i="20"/>
  <c r="F220" i="20"/>
  <c r="AE7" i="20"/>
  <c r="X7" i="20"/>
  <c r="E80" i="20"/>
  <c r="AP235" i="20"/>
  <c r="W235" i="20"/>
  <c r="D7" i="20"/>
  <c r="C80" i="20"/>
  <c r="F80" i="20"/>
  <c r="AH77" i="20"/>
  <c r="F7" i="20"/>
  <c r="B79" i="20"/>
  <c r="B7" i="20" s="1"/>
  <c r="AI77" i="20"/>
  <c r="B80" i="20"/>
  <c r="AI79" i="20"/>
  <c r="T235" i="20"/>
  <c r="AH79" i="20"/>
  <c r="AI88" i="20"/>
  <c r="AH88" i="20"/>
  <c r="I98" i="22" l="1"/>
  <c r="I222" i="22"/>
  <c r="J216" i="22"/>
  <c r="AH80" i="22"/>
  <c r="K221" i="22"/>
  <c r="I257" i="22"/>
  <c r="K6" i="21"/>
  <c r="AH80" i="21"/>
  <c r="A7" i="21"/>
  <c r="I215" i="21"/>
  <c r="H98" i="21"/>
  <c r="H221" i="21"/>
  <c r="H256" i="21"/>
  <c r="J220" i="21"/>
  <c r="K6" i="20"/>
  <c r="A7" i="20"/>
  <c r="E256" i="20"/>
  <c r="G220" i="20"/>
  <c r="AH80" i="20"/>
  <c r="G215" i="20"/>
  <c r="F98" i="20"/>
  <c r="F221" i="20"/>
  <c r="J257" i="22" l="1"/>
  <c r="L221" i="22"/>
  <c r="J222" i="22"/>
  <c r="K216" i="22"/>
  <c r="J98" i="22"/>
  <c r="K220" i="21"/>
  <c r="I256" i="21"/>
  <c r="I98" i="21"/>
  <c r="I221" i="21"/>
  <c r="J215" i="21"/>
  <c r="H215" i="20"/>
  <c r="G98" i="20"/>
  <c r="G221" i="20"/>
  <c r="F256" i="20"/>
  <c r="H220" i="20"/>
  <c r="K222" i="22" l="1"/>
  <c r="L216" i="22"/>
  <c r="K98" i="22"/>
  <c r="K257" i="22"/>
  <c r="M221" i="22"/>
  <c r="J221" i="21"/>
  <c r="K215" i="21"/>
  <c r="J98" i="21"/>
  <c r="J256" i="21"/>
  <c r="L220" i="21"/>
  <c r="G256" i="20"/>
  <c r="I220" i="20"/>
  <c r="I215" i="20"/>
  <c r="H98" i="20"/>
  <c r="H221" i="20"/>
  <c r="L257" i="22" l="1"/>
  <c r="N221" i="22"/>
  <c r="L222" i="22"/>
  <c r="M216" i="22"/>
  <c r="L98" i="22"/>
  <c r="K221" i="21"/>
  <c r="L215" i="21"/>
  <c r="K98" i="21"/>
  <c r="K256" i="21"/>
  <c r="M220" i="21"/>
  <c r="J215" i="20"/>
  <c r="I221" i="20"/>
  <c r="I98" i="20"/>
  <c r="H256" i="20"/>
  <c r="J220" i="20"/>
  <c r="E37" i="19"/>
  <c r="D37" i="19"/>
  <c r="C37" i="19"/>
  <c r="AH37" i="19" s="1"/>
  <c r="B37" i="19"/>
  <c r="B98" i="19"/>
  <c r="B85" i="19"/>
  <c r="B84" i="19"/>
  <c r="B83" i="19"/>
  <c r="B82" i="19"/>
  <c r="B81" i="19"/>
  <c r="B87" i="19" s="1"/>
  <c r="B72" i="19"/>
  <c r="B88" i="19" s="1"/>
  <c r="B60" i="19"/>
  <c r="B56" i="19"/>
  <c r="B42" i="19"/>
  <c r="B38" i="19"/>
  <c r="AF37" i="18"/>
  <c r="AF260" i="19"/>
  <c r="AE260" i="19"/>
  <c r="AD260" i="19"/>
  <c r="AC260" i="19"/>
  <c r="AB260" i="19"/>
  <c r="AA260" i="19"/>
  <c r="Z260" i="19"/>
  <c r="Y260" i="19"/>
  <c r="X260" i="19"/>
  <c r="W260" i="19"/>
  <c r="V260" i="19"/>
  <c r="U260" i="19"/>
  <c r="T260" i="19"/>
  <c r="S260" i="19"/>
  <c r="R260" i="19"/>
  <c r="Q260" i="19"/>
  <c r="P260" i="19"/>
  <c r="O260" i="19"/>
  <c r="N260" i="19"/>
  <c r="M260" i="19"/>
  <c r="L260" i="19"/>
  <c r="K260" i="19"/>
  <c r="J260" i="19"/>
  <c r="I260" i="19"/>
  <c r="H260" i="19"/>
  <c r="G260" i="19"/>
  <c r="F260" i="19"/>
  <c r="E260" i="19"/>
  <c r="D260" i="19"/>
  <c r="C260" i="19"/>
  <c r="B260" i="19"/>
  <c r="A260" i="19"/>
  <c r="AF259" i="19"/>
  <c r="AE259" i="19"/>
  <c r="AD259" i="19"/>
  <c r="AC259" i="19"/>
  <c r="AB259" i="19"/>
  <c r="AA259" i="19"/>
  <c r="Z259" i="19"/>
  <c r="Y259" i="19"/>
  <c r="X259" i="19"/>
  <c r="W259" i="19"/>
  <c r="V259" i="19"/>
  <c r="U259" i="19"/>
  <c r="T259" i="19"/>
  <c r="S259" i="19"/>
  <c r="R259" i="19"/>
  <c r="Q259" i="19"/>
  <c r="P259" i="19"/>
  <c r="O259" i="19"/>
  <c r="N259" i="19"/>
  <c r="M259" i="19"/>
  <c r="L259" i="19"/>
  <c r="K259" i="19"/>
  <c r="J259" i="19"/>
  <c r="I259" i="19"/>
  <c r="H259" i="19"/>
  <c r="G259" i="19"/>
  <c r="F259" i="19"/>
  <c r="E259" i="19"/>
  <c r="D259" i="19"/>
  <c r="C259" i="19"/>
  <c r="B259" i="19"/>
  <c r="A259" i="19"/>
  <c r="AF258" i="19"/>
  <c r="AE258" i="19"/>
  <c r="AD258" i="19"/>
  <c r="AC258" i="19"/>
  <c r="AB258" i="19"/>
  <c r="AA258" i="19"/>
  <c r="Z258" i="19"/>
  <c r="Y258" i="19"/>
  <c r="X258" i="19"/>
  <c r="W258" i="19"/>
  <c r="V258" i="19"/>
  <c r="U258" i="19"/>
  <c r="T258" i="19"/>
  <c r="S258" i="19"/>
  <c r="R258" i="19"/>
  <c r="Q258" i="19"/>
  <c r="P258" i="19"/>
  <c r="O258" i="19"/>
  <c r="N258" i="19"/>
  <c r="M258" i="19"/>
  <c r="L258" i="19"/>
  <c r="K258" i="19"/>
  <c r="J258" i="19"/>
  <c r="I258" i="19"/>
  <c r="H258" i="19"/>
  <c r="G258" i="19"/>
  <c r="F258" i="19"/>
  <c r="E258" i="19"/>
  <c r="D258" i="19"/>
  <c r="C258" i="19"/>
  <c r="B258" i="19"/>
  <c r="A258" i="19"/>
  <c r="AF257" i="19"/>
  <c r="AE257" i="19"/>
  <c r="AD257" i="19"/>
  <c r="AC257" i="19"/>
  <c r="AB257" i="19"/>
  <c r="AA257" i="19"/>
  <c r="Z257" i="19"/>
  <c r="Y257" i="19"/>
  <c r="X257" i="19"/>
  <c r="W257" i="19"/>
  <c r="V257" i="19"/>
  <c r="U257" i="19"/>
  <c r="T257" i="19"/>
  <c r="S257" i="19"/>
  <c r="R257" i="19"/>
  <c r="Q257" i="19"/>
  <c r="P257" i="19"/>
  <c r="O257" i="19"/>
  <c r="N257" i="19"/>
  <c r="M257" i="19"/>
  <c r="L257" i="19"/>
  <c r="K257" i="19"/>
  <c r="J257" i="19"/>
  <c r="I257" i="19"/>
  <c r="H257" i="19"/>
  <c r="G257" i="19"/>
  <c r="F257" i="19"/>
  <c r="E257" i="19"/>
  <c r="D257" i="19"/>
  <c r="C257" i="19"/>
  <c r="B257" i="19"/>
  <c r="A257" i="19"/>
  <c r="AE256" i="19"/>
  <c r="AD256" i="19"/>
  <c r="AC256" i="19"/>
  <c r="AB256" i="19"/>
  <c r="AA256" i="19"/>
  <c r="Z256" i="19"/>
  <c r="Y256" i="19"/>
  <c r="X256" i="19"/>
  <c r="W256" i="19"/>
  <c r="V256" i="19"/>
  <c r="U256" i="19"/>
  <c r="T256" i="19"/>
  <c r="S256" i="19"/>
  <c r="R256" i="19"/>
  <c r="Q256" i="19"/>
  <c r="P256" i="19"/>
  <c r="E256" i="19"/>
  <c r="D256" i="19"/>
  <c r="C256" i="19"/>
  <c r="B256" i="19"/>
  <c r="S231" i="19"/>
  <c r="AG221" i="19"/>
  <c r="AG55" i="19" s="1"/>
  <c r="AF221" i="19"/>
  <c r="AE221" i="19"/>
  <c r="AD221" i="19"/>
  <c r="AC221" i="19"/>
  <c r="AB221" i="19"/>
  <c r="AA221" i="19"/>
  <c r="Z221" i="19"/>
  <c r="Y221" i="19"/>
  <c r="X221" i="19"/>
  <c r="W221" i="19"/>
  <c r="V221" i="19"/>
  <c r="U221" i="19"/>
  <c r="T221" i="19"/>
  <c r="S221" i="19"/>
  <c r="R221" i="19"/>
  <c r="Q221" i="19"/>
  <c r="C221" i="19"/>
  <c r="H220" i="19"/>
  <c r="G220" i="19"/>
  <c r="F256" i="19" s="1"/>
  <c r="F220" i="19"/>
  <c r="E220" i="19"/>
  <c r="D220" i="19"/>
  <c r="B220" i="19"/>
  <c r="AF256" i="19" s="1"/>
  <c r="F219" i="19"/>
  <c r="G219" i="19" s="1"/>
  <c r="H219" i="19" s="1"/>
  <c r="I219" i="19" s="1"/>
  <c r="J219" i="19" s="1"/>
  <c r="K219" i="19" s="1"/>
  <c r="L219" i="19" s="1"/>
  <c r="M219" i="19" s="1"/>
  <c r="N219" i="19" s="1"/>
  <c r="O219" i="19" s="1"/>
  <c r="P219" i="19" s="1"/>
  <c r="E219" i="19"/>
  <c r="D219" i="19"/>
  <c r="B219" i="19"/>
  <c r="D218" i="19"/>
  <c r="E218" i="19" s="1"/>
  <c r="F218" i="19" s="1"/>
  <c r="G218" i="19" s="1"/>
  <c r="H218" i="19" s="1"/>
  <c r="I218" i="19" s="1"/>
  <c r="J218" i="19" s="1"/>
  <c r="K218" i="19" s="1"/>
  <c r="L218" i="19" s="1"/>
  <c r="M218" i="19" s="1"/>
  <c r="N218" i="19" s="1"/>
  <c r="O218" i="19" s="1"/>
  <c r="P218" i="19" s="1"/>
  <c r="B218" i="19"/>
  <c r="J217" i="19"/>
  <c r="K217" i="19" s="1"/>
  <c r="L217" i="19" s="1"/>
  <c r="M217" i="19" s="1"/>
  <c r="N217" i="19" s="1"/>
  <c r="O217" i="19" s="1"/>
  <c r="P217" i="19" s="1"/>
  <c r="I217" i="19"/>
  <c r="H217" i="19"/>
  <c r="G217" i="19"/>
  <c r="F217" i="19"/>
  <c r="E217" i="19"/>
  <c r="D217" i="19"/>
  <c r="B217" i="19"/>
  <c r="B221" i="19" s="1"/>
  <c r="H216" i="19"/>
  <c r="I216" i="19" s="1"/>
  <c r="J216" i="19" s="1"/>
  <c r="K216" i="19" s="1"/>
  <c r="L216" i="19" s="1"/>
  <c r="M216" i="19" s="1"/>
  <c r="N216" i="19" s="1"/>
  <c r="O216" i="19" s="1"/>
  <c r="P216" i="19" s="1"/>
  <c r="G216" i="19"/>
  <c r="F216" i="19"/>
  <c r="E216" i="19"/>
  <c r="D216" i="19"/>
  <c r="B216" i="19"/>
  <c r="F215" i="19"/>
  <c r="E215" i="19"/>
  <c r="E221" i="19" s="1"/>
  <c r="D215" i="19"/>
  <c r="D221" i="19" s="1"/>
  <c r="B215" i="19"/>
  <c r="AG213" i="19"/>
  <c r="AF213" i="19"/>
  <c r="AE213" i="19"/>
  <c r="AD213" i="19"/>
  <c r="AC213" i="19"/>
  <c r="AB213" i="19"/>
  <c r="AA213" i="19"/>
  <c r="Z213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AH106" i="19"/>
  <c r="AI106" i="19" s="1"/>
  <c r="AH105" i="19"/>
  <c r="AI105" i="19" s="1"/>
  <c r="AH104" i="19"/>
  <c r="AI104" i="19" s="1"/>
  <c r="AH103" i="19"/>
  <c r="AI103" i="19" s="1"/>
  <c r="AH102" i="19"/>
  <c r="AI102" i="19" s="1"/>
  <c r="AH101" i="19"/>
  <c r="AI101" i="19" s="1"/>
  <c r="AH100" i="19"/>
  <c r="AI100" i="19" s="1"/>
  <c r="AH99" i="19"/>
  <c r="AI99" i="19" s="1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E98" i="19"/>
  <c r="D98" i="19"/>
  <c r="C98" i="19"/>
  <c r="AI97" i="19"/>
  <c r="AH97" i="19"/>
  <c r="AI96" i="19"/>
  <c r="AH96" i="19"/>
  <c r="AI95" i="19"/>
  <c r="AH95" i="19"/>
  <c r="AI94" i="19"/>
  <c r="AH94" i="19"/>
  <c r="AI93" i="19"/>
  <c r="AH93" i="19"/>
  <c r="AI92" i="19"/>
  <c r="AH92" i="19"/>
  <c r="AI91" i="19"/>
  <c r="AH91" i="19"/>
  <c r="AI90" i="19"/>
  <c r="AH90" i="19"/>
  <c r="AI89" i="19"/>
  <c r="AH89" i="19"/>
  <c r="AI86" i="19"/>
  <c r="AH86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AF81" i="19"/>
  <c r="AF87" i="19" s="1"/>
  <c r="AE81" i="19"/>
  <c r="AD81" i="19"/>
  <c r="AC81" i="19"/>
  <c r="AB81" i="19"/>
  <c r="AA81" i="19"/>
  <c r="Z81" i="19"/>
  <c r="Z87" i="19" s="1"/>
  <c r="Y81" i="19"/>
  <c r="X81" i="19"/>
  <c r="X87" i="19" s="1"/>
  <c r="W81" i="19"/>
  <c r="V81" i="19"/>
  <c r="U81" i="19"/>
  <c r="T81" i="19"/>
  <c r="S81" i="19"/>
  <c r="R81" i="19"/>
  <c r="R87" i="19" s="1"/>
  <c r="Q81" i="19"/>
  <c r="Q87" i="19" s="1"/>
  <c r="P81" i="19"/>
  <c r="O81" i="19"/>
  <c r="N81" i="19"/>
  <c r="M81" i="19"/>
  <c r="L81" i="19"/>
  <c r="K81" i="19"/>
  <c r="J81" i="19"/>
  <c r="J87" i="19" s="1"/>
  <c r="I81" i="19"/>
  <c r="H81" i="19"/>
  <c r="H87" i="19" s="1"/>
  <c r="G81" i="19"/>
  <c r="F81" i="19"/>
  <c r="E81" i="19"/>
  <c r="D81" i="19"/>
  <c r="D87" i="19" s="1"/>
  <c r="C81" i="19"/>
  <c r="AI78" i="19"/>
  <c r="AH78" i="19"/>
  <c r="AI76" i="19"/>
  <c r="AH76" i="19"/>
  <c r="AG76" i="19"/>
  <c r="AI75" i="19"/>
  <c r="AH75" i="19"/>
  <c r="AI74" i="19"/>
  <c r="AH74" i="19"/>
  <c r="AI73" i="19"/>
  <c r="AH73" i="19"/>
  <c r="AG72" i="19"/>
  <c r="AF72" i="19"/>
  <c r="AE5" i="19" s="1"/>
  <c r="AE72" i="19"/>
  <c r="AD5" i="19" s="1"/>
  <c r="AD72" i="19"/>
  <c r="AC5" i="19" s="1"/>
  <c r="AC72" i="19"/>
  <c r="AB5" i="19" s="1"/>
  <c r="AB72" i="19"/>
  <c r="AA5" i="19" s="1"/>
  <c r="AA72" i="19"/>
  <c r="Z72" i="19"/>
  <c r="Y72" i="19"/>
  <c r="X5" i="19" s="1"/>
  <c r="X72" i="19"/>
  <c r="W5" i="19" s="1"/>
  <c r="W72" i="19"/>
  <c r="V5" i="19" s="1"/>
  <c r="V72" i="19"/>
  <c r="U5" i="19" s="1"/>
  <c r="U72" i="19"/>
  <c r="T5" i="19" s="1"/>
  <c r="T72" i="19"/>
  <c r="S5" i="19" s="1"/>
  <c r="S72" i="19"/>
  <c r="R72" i="19"/>
  <c r="Q72" i="19"/>
  <c r="P5" i="19" s="1"/>
  <c r="P72" i="19"/>
  <c r="O5" i="19" s="1"/>
  <c r="O72" i="19"/>
  <c r="N5" i="19" s="1"/>
  <c r="N72" i="19"/>
  <c r="M5" i="19" s="1"/>
  <c r="M72" i="19"/>
  <c r="L5" i="19" s="1"/>
  <c r="L72" i="19"/>
  <c r="K5" i="19" s="1"/>
  <c r="K72" i="19"/>
  <c r="J72" i="19"/>
  <c r="I72" i="19"/>
  <c r="H5" i="19" s="1"/>
  <c r="H72" i="19"/>
  <c r="G5" i="19" s="1"/>
  <c r="G72" i="19"/>
  <c r="F5" i="19" s="1"/>
  <c r="F72" i="19"/>
  <c r="E5" i="19" s="1"/>
  <c r="E72" i="19"/>
  <c r="D5" i="19" s="1"/>
  <c r="D72" i="19"/>
  <c r="C5" i="19" s="1"/>
  <c r="C72" i="19"/>
  <c r="AI71" i="19"/>
  <c r="AH71" i="19"/>
  <c r="AI70" i="19"/>
  <c r="AH70" i="19"/>
  <c r="AI69" i="19"/>
  <c r="AH69" i="19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G60" i="19"/>
  <c r="AG4" i="19" s="1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AI59" i="19"/>
  <c r="AH59" i="19"/>
  <c r="AI58" i="19"/>
  <c r="AH58" i="19"/>
  <c r="AI57" i="19"/>
  <c r="AH57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AI41" i="19"/>
  <c r="AH41" i="19"/>
  <c r="AI40" i="19"/>
  <c r="AH40" i="19"/>
  <c r="AI39" i="19"/>
  <c r="AH39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K4" i="19"/>
  <c r="B4" i="19"/>
  <c r="AG3" i="19"/>
  <c r="AG2" i="19"/>
  <c r="AE37" i="18"/>
  <c r="AD37" i="18"/>
  <c r="AC37" i="18"/>
  <c r="AB37" i="18"/>
  <c r="Z37" i="18"/>
  <c r="Y37" i="18"/>
  <c r="X37" i="18"/>
  <c r="W37" i="18"/>
  <c r="V37" i="18"/>
  <c r="U37" i="18"/>
  <c r="T37" i="18"/>
  <c r="S37" i="18"/>
  <c r="R37" i="18"/>
  <c r="Q99" i="18"/>
  <c r="Q98" i="18"/>
  <c r="Q37" i="18"/>
  <c r="P37" i="18"/>
  <c r="O37" i="18"/>
  <c r="N99" i="18"/>
  <c r="N37" i="18"/>
  <c r="M100" i="18"/>
  <c r="M99" i="18"/>
  <c r="M37" i="18"/>
  <c r="L100" i="18"/>
  <c r="J100" i="18"/>
  <c r="K100" i="18"/>
  <c r="J37" i="18"/>
  <c r="K37" i="18"/>
  <c r="L37" i="18"/>
  <c r="G100" i="18"/>
  <c r="H100" i="18"/>
  <c r="I100" i="18"/>
  <c r="G37" i="18"/>
  <c r="H37" i="18"/>
  <c r="I37" i="18"/>
  <c r="F100" i="18"/>
  <c r="F37" i="18"/>
  <c r="E100" i="18"/>
  <c r="E4" i="19"/>
  <c r="N216" i="22" l="1"/>
  <c r="M98" i="22"/>
  <c r="M222" i="22"/>
  <c r="M257" i="22"/>
  <c r="O221" i="22"/>
  <c r="L256" i="21"/>
  <c r="N220" i="21"/>
  <c r="L221" i="21"/>
  <c r="M215" i="21"/>
  <c r="L98" i="21"/>
  <c r="I256" i="20"/>
  <c r="K220" i="20"/>
  <c r="K215" i="20"/>
  <c r="J98" i="20"/>
  <c r="J221" i="20"/>
  <c r="AF88" i="19"/>
  <c r="AF77" i="19"/>
  <c r="AF79" i="19" s="1"/>
  <c r="AF7" i="19" s="1"/>
  <c r="AE87" i="19"/>
  <c r="AE88" i="19"/>
  <c r="AE77" i="19"/>
  <c r="AE79" i="19" s="1"/>
  <c r="AW235" i="19" s="1"/>
  <c r="AD77" i="19"/>
  <c r="AD79" i="19" s="1"/>
  <c r="AV235" i="19" s="1"/>
  <c r="AC77" i="19"/>
  <c r="AC79" i="19" s="1"/>
  <c r="AC7" i="19" s="1"/>
  <c r="AB87" i="19"/>
  <c r="AB77" i="19"/>
  <c r="AB79" i="19" s="1"/>
  <c r="AB80" i="19" s="1"/>
  <c r="AB88" i="19"/>
  <c r="AA77" i="19"/>
  <c r="AA79" i="19" s="1"/>
  <c r="AA87" i="19"/>
  <c r="Y87" i="19"/>
  <c r="X77" i="19"/>
  <c r="X79" i="19" s="1"/>
  <c r="X80" i="19" s="1"/>
  <c r="W87" i="19"/>
  <c r="W88" i="19" s="1"/>
  <c r="W77" i="19"/>
  <c r="W79" i="19" s="1"/>
  <c r="AO235" i="19" s="1"/>
  <c r="V77" i="19"/>
  <c r="V79" i="19" s="1"/>
  <c r="U77" i="19"/>
  <c r="U79" i="19" s="1"/>
  <c r="T87" i="19"/>
  <c r="T88" i="19" s="1"/>
  <c r="T77" i="19"/>
  <c r="T79" i="19" s="1"/>
  <c r="T80" i="19" s="1"/>
  <c r="S87" i="19"/>
  <c r="S77" i="19"/>
  <c r="S79" i="19" s="1"/>
  <c r="S80" i="19" s="1"/>
  <c r="P87" i="19"/>
  <c r="P77" i="19"/>
  <c r="P79" i="19" s="1"/>
  <c r="P80" i="19" s="1"/>
  <c r="O77" i="19"/>
  <c r="O79" i="19" s="1"/>
  <c r="AG235" i="19" s="1"/>
  <c r="O87" i="19"/>
  <c r="O88" i="19" s="1"/>
  <c r="N77" i="19"/>
  <c r="N79" i="19" s="1"/>
  <c r="N7" i="19" s="1"/>
  <c r="M77" i="19"/>
  <c r="M79" i="19" s="1"/>
  <c r="AE235" i="19" s="1"/>
  <c r="L87" i="19"/>
  <c r="L88" i="19" s="1"/>
  <c r="L77" i="19"/>
  <c r="L79" i="19" s="1"/>
  <c r="L80" i="19" s="1"/>
  <c r="K87" i="19"/>
  <c r="K77" i="19"/>
  <c r="K79" i="19" s="1"/>
  <c r="K80" i="19" s="1"/>
  <c r="I87" i="19"/>
  <c r="AH84" i="19"/>
  <c r="H77" i="19"/>
  <c r="H79" i="19" s="1"/>
  <c r="H80" i="19" s="1"/>
  <c r="AI83" i="19"/>
  <c r="G87" i="19"/>
  <c r="G88" i="19" s="1"/>
  <c r="G77" i="19"/>
  <c r="G79" i="19" s="1"/>
  <c r="G80" i="19" s="1"/>
  <c r="F77" i="19"/>
  <c r="F79" i="19" s="1"/>
  <c r="X235" i="19" s="1"/>
  <c r="E77" i="19"/>
  <c r="E79" i="19" s="1"/>
  <c r="W235" i="19" s="1"/>
  <c r="D88" i="19"/>
  <c r="D77" i="19"/>
  <c r="D79" i="19" s="1"/>
  <c r="D80" i="19" s="1"/>
  <c r="C87" i="19"/>
  <c r="C77" i="19"/>
  <c r="C79" i="19" s="1"/>
  <c r="B77" i="19"/>
  <c r="B79" i="19" s="1"/>
  <c r="B80" i="19" s="1"/>
  <c r="H4" i="19"/>
  <c r="C80" i="19"/>
  <c r="U235" i="19"/>
  <c r="C7" i="19"/>
  <c r="S7" i="19"/>
  <c r="AA80" i="19"/>
  <c r="AS235" i="19"/>
  <c r="AA7" i="19"/>
  <c r="AN235" i="19"/>
  <c r="V7" i="19"/>
  <c r="O7" i="19"/>
  <c r="O80" i="19"/>
  <c r="S232" i="19"/>
  <c r="D232" i="19"/>
  <c r="E7" i="19"/>
  <c r="AM235" i="19"/>
  <c r="U7" i="19"/>
  <c r="AU235" i="19"/>
  <c r="AH81" i="19"/>
  <c r="H88" i="19"/>
  <c r="G256" i="19"/>
  <c r="I220" i="19"/>
  <c r="AL235" i="19"/>
  <c r="AI81" i="19"/>
  <c r="AI82" i="19"/>
  <c r="I88" i="19"/>
  <c r="AT235" i="19"/>
  <c r="AG79" i="19"/>
  <c r="P88" i="19"/>
  <c r="G215" i="19"/>
  <c r="F221" i="19"/>
  <c r="Z235" i="19"/>
  <c r="H7" i="19"/>
  <c r="AH42" i="19"/>
  <c r="AF5" i="19"/>
  <c r="AI72" i="19"/>
  <c r="I5" i="19"/>
  <c r="J88" i="19"/>
  <c r="Q5" i="19"/>
  <c r="R88" i="19"/>
  <c r="Y5" i="19"/>
  <c r="Z88" i="19"/>
  <c r="AH72" i="19"/>
  <c r="Q88" i="19"/>
  <c r="AX235" i="19"/>
  <c r="I77" i="19"/>
  <c r="I79" i="19" s="1"/>
  <c r="Q77" i="19"/>
  <c r="Q79" i="19" s="1"/>
  <c r="Y77" i="19"/>
  <c r="Y79" i="19" s="1"/>
  <c r="AG77" i="19"/>
  <c r="AI42" i="19"/>
  <c r="AI60" i="19"/>
  <c r="AH60" i="19"/>
  <c r="C88" i="19"/>
  <c r="K88" i="19"/>
  <c r="S88" i="19"/>
  <c r="AA88" i="19"/>
  <c r="E87" i="19"/>
  <c r="E88" i="19" s="1"/>
  <c r="M87" i="19"/>
  <c r="M88" i="19" s="1"/>
  <c r="U87" i="19"/>
  <c r="U88" i="19" s="1"/>
  <c r="AC87" i="19"/>
  <c r="AC88" i="19" s="1"/>
  <c r="X88" i="19"/>
  <c r="AH235" i="19"/>
  <c r="D7" i="19"/>
  <c r="J77" i="19"/>
  <c r="J79" i="19" s="1"/>
  <c r="R77" i="19"/>
  <c r="R79" i="19" s="1"/>
  <c r="Z77" i="19"/>
  <c r="Z79" i="19" s="1"/>
  <c r="AI56" i="19"/>
  <c r="AH56" i="19"/>
  <c r="F87" i="19"/>
  <c r="N87" i="19"/>
  <c r="N88" i="19" s="1"/>
  <c r="V87" i="19"/>
  <c r="V80" i="19" s="1"/>
  <c r="AD87" i="19"/>
  <c r="AD88" i="19" s="1"/>
  <c r="AH82" i="19"/>
  <c r="Y88" i="19"/>
  <c r="T7" i="19"/>
  <c r="AG6" i="19"/>
  <c r="AB7" i="19"/>
  <c r="AI85" i="19"/>
  <c r="F98" i="19"/>
  <c r="V235" i="19"/>
  <c r="B5" i="19"/>
  <c r="J5" i="19"/>
  <c r="R5" i="19"/>
  <c r="Z5" i="19"/>
  <c r="AI38" i="19"/>
  <c r="AI84" i="19"/>
  <c r="AH85" i="19"/>
  <c r="AH83" i="19"/>
  <c r="AH38" i="19"/>
  <c r="N257" i="22" l="1"/>
  <c r="P221" i="22"/>
  <c r="O257" i="22" s="1"/>
  <c r="O216" i="22"/>
  <c r="N98" i="22"/>
  <c r="N222" i="22"/>
  <c r="N215" i="21"/>
  <c r="M98" i="21"/>
  <c r="M221" i="21"/>
  <c r="M256" i="21"/>
  <c r="O220" i="21"/>
  <c r="K221" i="20"/>
  <c r="L215" i="20"/>
  <c r="K98" i="20"/>
  <c r="J256" i="20"/>
  <c r="L220" i="20"/>
  <c r="AF80" i="19"/>
  <c r="AE7" i="19"/>
  <c r="AE80" i="19"/>
  <c r="AD80" i="19"/>
  <c r="AD7" i="19"/>
  <c r="AC80" i="19"/>
  <c r="W80" i="19"/>
  <c r="W7" i="19"/>
  <c r="X7" i="19"/>
  <c r="AP235" i="19"/>
  <c r="V88" i="19"/>
  <c r="AK235" i="19"/>
  <c r="P7" i="19"/>
  <c r="AF235" i="19"/>
  <c r="M7" i="19"/>
  <c r="AD235" i="19"/>
  <c r="L7" i="19"/>
  <c r="K7" i="19"/>
  <c r="M80" i="19"/>
  <c r="AC235" i="19"/>
  <c r="F7" i="19"/>
  <c r="F80" i="19"/>
  <c r="C230" i="19"/>
  <c r="Y235" i="19"/>
  <c r="G7" i="19"/>
  <c r="AI87" i="19"/>
  <c r="N80" i="19"/>
  <c r="AI88" i="19"/>
  <c r="AH88" i="19"/>
  <c r="AQ235" i="19"/>
  <c r="Y7" i="19"/>
  <c r="Y80" i="19"/>
  <c r="F88" i="19"/>
  <c r="B230" i="19"/>
  <c r="Z80" i="19"/>
  <c r="AR235" i="19"/>
  <c r="Z7" i="19"/>
  <c r="AI235" i="19"/>
  <c r="Q7" i="19"/>
  <c r="Q80" i="19"/>
  <c r="E80" i="19"/>
  <c r="AJ235" i="19"/>
  <c r="R80" i="19"/>
  <c r="R7" i="19"/>
  <c r="AA235" i="19"/>
  <c r="I7" i="19"/>
  <c r="I80" i="19"/>
  <c r="H215" i="19"/>
  <c r="G98" i="19"/>
  <c r="G221" i="19"/>
  <c r="J80" i="19"/>
  <c r="AB235" i="19"/>
  <c r="J7" i="19"/>
  <c r="H256" i="19"/>
  <c r="J220" i="19"/>
  <c r="U80" i="19"/>
  <c r="AH77" i="19"/>
  <c r="AI77" i="19"/>
  <c r="AH87" i="19"/>
  <c r="P216" i="22" l="1"/>
  <c r="O98" i="22"/>
  <c r="O222" i="22"/>
  <c r="P220" i="21"/>
  <c r="O256" i="21" s="1"/>
  <c r="N256" i="21"/>
  <c r="N98" i="21"/>
  <c r="O215" i="21"/>
  <c r="N221" i="21"/>
  <c r="K256" i="20"/>
  <c r="M220" i="20"/>
  <c r="M215" i="20"/>
  <c r="L98" i="20"/>
  <c r="L221" i="20"/>
  <c r="K6" i="19"/>
  <c r="I215" i="19"/>
  <c r="H98" i="19"/>
  <c r="H221" i="19"/>
  <c r="K220" i="19"/>
  <c r="I256" i="19"/>
  <c r="T235" i="19"/>
  <c r="AH80" i="19"/>
  <c r="B7" i="19"/>
  <c r="A7" i="19" s="1"/>
  <c r="AH79" i="19"/>
  <c r="AI79" i="19"/>
  <c r="P98" i="22" l="1"/>
  <c r="P222" i="22"/>
  <c r="P215" i="21"/>
  <c r="O98" i="21"/>
  <c r="O221" i="21"/>
  <c r="N215" i="20"/>
  <c r="M98" i="20"/>
  <c r="M221" i="20"/>
  <c r="N220" i="20"/>
  <c r="L256" i="20"/>
  <c r="J256" i="19"/>
  <c r="L220" i="19"/>
  <c r="I98" i="19"/>
  <c r="J215" i="19"/>
  <c r="I221" i="19"/>
  <c r="B38" i="18"/>
  <c r="B42" i="18"/>
  <c r="AF260" i="18"/>
  <c r="AE260" i="18"/>
  <c r="AD260" i="18"/>
  <c r="AC260" i="18"/>
  <c r="AB260" i="18"/>
  <c r="AA260" i="18"/>
  <c r="Z260" i="18"/>
  <c r="Y260" i="18"/>
  <c r="X260" i="18"/>
  <c r="W260" i="18"/>
  <c r="V260" i="18"/>
  <c r="U260" i="18"/>
  <c r="T260" i="18"/>
  <c r="S260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B260" i="18"/>
  <c r="A260" i="18"/>
  <c r="AF259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D259" i="18"/>
  <c r="C259" i="18"/>
  <c r="B259" i="18"/>
  <c r="A259" i="18"/>
  <c r="AF258" i="18"/>
  <c r="AE258" i="18"/>
  <c r="AD258" i="18"/>
  <c r="AC258" i="18"/>
  <c r="AB258" i="18"/>
  <c r="AA258" i="18"/>
  <c r="Z258" i="18"/>
  <c r="Y258" i="18"/>
  <c r="X258" i="18"/>
  <c r="W258" i="18"/>
  <c r="V258" i="18"/>
  <c r="U258" i="18"/>
  <c r="T258" i="18"/>
  <c r="S258" i="18"/>
  <c r="R258" i="18"/>
  <c r="Q258" i="18"/>
  <c r="P258" i="18"/>
  <c r="O258" i="18"/>
  <c r="N258" i="18"/>
  <c r="M258" i="18"/>
  <c r="L258" i="18"/>
  <c r="K258" i="18"/>
  <c r="J258" i="18"/>
  <c r="I258" i="18"/>
  <c r="H258" i="18"/>
  <c r="G258" i="18"/>
  <c r="F258" i="18"/>
  <c r="E258" i="18"/>
  <c r="D258" i="18"/>
  <c r="C258" i="18"/>
  <c r="B258" i="18"/>
  <c r="A258" i="18"/>
  <c r="AF257" i="18"/>
  <c r="AE257" i="18"/>
  <c r="AD257" i="18"/>
  <c r="AC257" i="18"/>
  <c r="AB257" i="18"/>
  <c r="AA257" i="18"/>
  <c r="Z257" i="18"/>
  <c r="Y257" i="18"/>
  <c r="X257" i="18"/>
  <c r="W257" i="18"/>
  <c r="V257" i="18"/>
  <c r="U257" i="18"/>
  <c r="T257" i="18"/>
  <c r="S257" i="18"/>
  <c r="R257" i="18"/>
  <c r="Q257" i="18"/>
  <c r="P257" i="18"/>
  <c r="O257" i="18"/>
  <c r="N257" i="18"/>
  <c r="M257" i="18"/>
  <c r="L257" i="18"/>
  <c r="K257" i="18"/>
  <c r="J257" i="18"/>
  <c r="I257" i="18"/>
  <c r="H257" i="18"/>
  <c r="G257" i="18"/>
  <c r="F257" i="18"/>
  <c r="E257" i="18"/>
  <c r="D257" i="18"/>
  <c r="C257" i="18"/>
  <c r="B257" i="18"/>
  <c r="A257" i="18"/>
  <c r="AE256" i="18"/>
  <c r="AD256" i="18"/>
  <c r="AC256" i="18"/>
  <c r="AB256" i="18"/>
  <c r="AA256" i="18"/>
  <c r="Z256" i="18"/>
  <c r="Y256" i="18"/>
  <c r="X256" i="18"/>
  <c r="W256" i="18"/>
  <c r="V256" i="18"/>
  <c r="U256" i="18"/>
  <c r="T256" i="18"/>
  <c r="S256" i="18"/>
  <c r="R256" i="18"/>
  <c r="Q256" i="18"/>
  <c r="P256" i="18"/>
  <c r="C256" i="18"/>
  <c r="B256" i="18"/>
  <c r="S231" i="18"/>
  <c r="AG221" i="18"/>
  <c r="AF221" i="18"/>
  <c r="AE221" i="18"/>
  <c r="AD221" i="18"/>
  <c r="AC221" i="18"/>
  <c r="AB221" i="18"/>
  <c r="AA221" i="18"/>
  <c r="Z221" i="18"/>
  <c r="Y221" i="18"/>
  <c r="X221" i="18"/>
  <c r="W221" i="18"/>
  <c r="V221" i="18"/>
  <c r="U221" i="18"/>
  <c r="T221" i="18"/>
  <c r="S221" i="18"/>
  <c r="R221" i="18"/>
  <c r="Q221" i="18"/>
  <c r="C221" i="18"/>
  <c r="D220" i="18"/>
  <c r="E220" i="18" s="1"/>
  <c r="B220" i="18"/>
  <c r="AF256" i="18" s="1"/>
  <c r="D219" i="18"/>
  <c r="E219" i="18" s="1"/>
  <c r="F219" i="18" s="1"/>
  <c r="G219" i="18" s="1"/>
  <c r="H219" i="18" s="1"/>
  <c r="I219" i="18" s="1"/>
  <c r="J219" i="18" s="1"/>
  <c r="K219" i="18" s="1"/>
  <c r="L219" i="18" s="1"/>
  <c r="M219" i="18" s="1"/>
  <c r="N219" i="18" s="1"/>
  <c r="O219" i="18" s="1"/>
  <c r="P219" i="18" s="1"/>
  <c r="B219" i="18"/>
  <c r="D218" i="18"/>
  <c r="E218" i="18" s="1"/>
  <c r="F218" i="18" s="1"/>
  <c r="G218" i="18" s="1"/>
  <c r="H218" i="18" s="1"/>
  <c r="I218" i="18" s="1"/>
  <c r="J218" i="18" s="1"/>
  <c r="K218" i="18" s="1"/>
  <c r="L218" i="18" s="1"/>
  <c r="M218" i="18" s="1"/>
  <c r="N218" i="18" s="1"/>
  <c r="O218" i="18" s="1"/>
  <c r="P218" i="18" s="1"/>
  <c r="B218" i="18"/>
  <c r="D217" i="18"/>
  <c r="E217" i="18" s="1"/>
  <c r="F217" i="18" s="1"/>
  <c r="G217" i="18" s="1"/>
  <c r="H217" i="18" s="1"/>
  <c r="I217" i="18" s="1"/>
  <c r="J217" i="18" s="1"/>
  <c r="K217" i="18" s="1"/>
  <c r="L217" i="18" s="1"/>
  <c r="M217" i="18" s="1"/>
  <c r="N217" i="18" s="1"/>
  <c r="O217" i="18" s="1"/>
  <c r="P217" i="18" s="1"/>
  <c r="B217" i="18"/>
  <c r="B221" i="18" s="1"/>
  <c r="D216" i="18"/>
  <c r="E216" i="18" s="1"/>
  <c r="F216" i="18" s="1"/>
  <c r="G216" i="18" s="1"/>
  <c r="H216" i="18" s="1"/>
  <c r="I216" i="18" s="1"/>
  <c r="J216" i="18" s="1"/>
  <c r="K216" i="18" s="1"/>
  <c r="L216" i="18" s="1"/>
  <c r="M216" i="18" s="1"/>
  <c r="N216" i="18" s="1"/>
  <c r="O216" i="18" s="1"/>
  <c r="P216" i="18" s="1"/>
  <c r="B216" i="18"/>
  <c r="D215" i="18"/>
  <c r="D221" i="18" s="1"/>
  <c r="B215" i="18"/>
  <c r="AG213" i="18"/>
  <c r="AF213" i="18"/>
  <c r="AE213" i="18"/>
  <c r="AD213" i="18"/>
  <c r="AC213" i="18"/>
  <c r="AB213" i="18"/>
  <c r="AA213" i="18"/>
  <c r="Z213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AH106" i="18"/>
  <c r="AI106" i="18" s="1"/>
  <c r="AH105" i="18"/>
  <c r="AI105" i="18" s="1"/>
  <c r="AH104" i="18"/>
  <c r="AI104" i="18" s="1"/>
  <c r="AH103" i="18"/>
  <c r="AI103" i="18" s="1"/>
  <c r="AH102" i="18"/>
  <c r="AI102" i="18" s="1"/>
  <c r="AH101" i="18"/>
  <c r="AI101" i="18" s="1"/>
  <c r="AH100" i="18"/>
  <c r="AI100" i="18" s="1"/>
  <c r="AH99" i="18"/>
  <c r="AI99" i="18" s="1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D98" i="18"/>
  <c r="C98" i="18"/>
  <c r="B98" i="18"/>
  <c r="AI97" i="18"/>
  <c r="AH97" i="18"/>
  <c r="AI96" i="18"/>
  <c r="AH96" i="18"/>
  <c r="AI95" i="18"/>
  <c r="AH95" i="18"/>
  <c r="AI94" i="18"/>
  <c r="AH94" i="18"/>
  <c r="AI93" i="18"/>
  <c r="AH93" i="18"/>
  <c r="AI92" i="18"/>
  <c r="AH92" i="18"/>
  <c r="AI91" i="18"/>
  <c r="AH91" i="18"/>
  <c r="AI90" i="18"/>
  <c r="AH90" i="18"/>
  <c r="AI89" i="18"/>
  <c r="AH89" i="18"/>
  <c r="AI86" i="18"/>
  <c r="AH86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AF81" i="18"/>
  <c r="AE81" i="18"/>
  <c r="AD81" i="18"/>
  <c r="AD87" i="18" s="1"/>
  <c r="AC81" i="18"/>
  <c r="AB81" i="18"/>
  <c r="AA81" i="18"/>
  <c r="Z81" i="18"/>
  <c r="Y81" i="18"/>
  <c r="X81" i="18"/>
  <c r="X87" i="18" s="1"/>
  <c r="W81" i="18"/>
  <c r="W87" i="18" s="1"/>
  <c r="V81" i="18"/>
  <c r="V87" i="18" s="1"/>
  <c r="U81" i="18"/>
  <c r="T81" i="18"/>
  <c r="S81" i="18"/>
  <c r="R81" i="18"/>
  <c r="Q81" i="18"/>
  <c r="P81" i="18"/>
  <c r="O81" i="18"/>
  <c r="O87" i="18" s="1"/>
  <c r="N81" i="18"/>
  <c r="M81" i="18"/>
  <c r="L81" i="18"/>
  <c r="K81" i="18"/>
  <c r="J81" i="18"/>
  <c r="I81" i="18"/>
  <c r="I87" i="18" s="1"/>
  <c r="H81" i="18"/>
  <c r="G81" i="18"/>
  <c r="F81" i="18"/>
  <c r="E81" i="18"/>
  <c r="E87" i="18" s="1"/>
  <c r="D81" i="18"/>
  <c r="C81" i="18"/>
  <c r="B81" i="18"/>
  <c r="AI78" i="18"/>
  <c r="AH78" i="18"/>
  <c r="AI76" i="18"/>
  <c r="AH76" i="18"/>
  <c r="AG76" i="18"/>
  <c r="AI75" i="18"/>
  <c r="AH75" i="18"/>
  <c r="AI74" i="18"/>
  <c r="AH74" i="18"/>
  <c r="AI73" i="18"/>
  <c r="AH73" i="18"/>
  <c r="AG72" i="18"/>
  <c r="AF72" i="18"/>
  <c r="AE5" i="18" s="1"/>
  <c r="AE72" i="18"/>
  <c r="AD72" i="18"/>
  <c r="AC72" i="18"/>
  <c r="AB5" i="18" s="1"/>
  <c r="AB72" i="18"/>
  <c r="AA72" i="18"/>
  <c r="Z72" i="18"/>
  <c r="Y72" i="18"/>
  <c r="X5" i="18" s="1"/>
  <c r="X72" i="18"/>
  <c r="W5" i="18" s="1"/>
  <c r="W72" i="18"/>
  <c r="V72" i="18"/>
  <c r="U72" i="18"/>
  <c r="T5" i="18" s="1"/>
  <c r="T72" i="18"/>
  <c r="S72" i="18"/>
  <c r="R5" i="18" s="1"/>
  <c r="R72" i="18"/>
  <c r="Q72" i="18"/>
  <c r="P5" i="18" s="1"/>
  <c r="P72" i="18"/>
  <c r="O5" i="18" s="1"/>
  <c r="O72" i="18"/>
  <c r="N5" i="18" s="1"/>
  <c r="N72" i="18"/>
  <c r="M72" i="18"/>
  <c r="L72" i="18"/>
  <c r="K5" i="18" s="1"/>
  <c r="K72" i="18"/>
  <c r="J5" i="18" s="1"/>
  <c r="J72" i="18"/>
  <c r="I72" i="18"/>
  <c r="I88" i="18" s="1"/>
  <c r="H72" i="18"/>
  <c r="G5" i="18" s="1"/>
  <c r="G72" i="18"/>
  <c r="F5" i="18" s="1"/>
  <c r="F72" i="18"/>
  <c r="E72" i="18"/>
  <c r="D5" i="18" s="1"/>
  <c r="D72" i="18"/>
  <c r="C72" i="18"/>
  <c r="B72" i="18"/>
  <c r="AF5" i="18" s="1"/>
  <c r="AI71" i="18"/>
  <c r="AH71" i="18"/>
  <c r="AI70" i="18"/>
  <c r="AH70" i="18"/>
  <c r="AI69" i="18"/>
  <c r="AH69" i="18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AI59" i="18"/>
  <c r="AH59" i="18"/>
  <c r="AI58" i="18"/>
  <c r="AH58" i="18"/>
  <c r="AI57" i="18"/>
  <c r="AH57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I55" i="18"/>
  <c r="AH55" i="18"/>
  <c r="AG55" i="18"/>
  <c r="AG56" i="18" s="1"/>
  <c r="AG3" i="18" s="1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AI41" i="18"/>
  <c r="AH41" i="18"/>
  <c r="AI40" i="18"/>
  <c r="AH40" i="18"/>
  <c r="AI39" i="18"/>
  <c r="AH39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Z5" i="18"/>
  <c r="L5" i="18"/>
  <c r="I5" i="18"/>
  <c r="H5" i="18"/>
  <c r="B5" i="18"/>
  <c r="AG4" i="18"/>
  <c r="K4" i="18"/>
  <c r="B4" i="18"/>
  <c r="S232" i="18" s="1"/>
  <c r="AG2" i="18"/>
  <c r="AE37" i="17"/>
  <c r="AD37" i="17"/>
  <c r="AC100" i="17"/>
  <c r="AC37" i="17"/>
  <c r="AB100" i="17"/>
  <c r="AA100" i="17"/>
  <c r="Z100" i="17"/>
  <c r="Z37" i="17"/>
  <c r="Y37" i="17"/>
  <c r="Y38" i="17"/>
  <c r="X100" i="17"/>
  <c r="X37" i="17"/>
  <c r="W100" i="17"/>
  <c r="W37" i="17"/>
  <c r="V100" i="17"/>
  <c r="V37" i="17"/>
  <c r="U100" i="17"/>
  <c r="U37" i="17"/>
  <c r="T100" i="17"/>
  <c r="T37" i="17"/>
  <c r="S100" i="17"/>
  <c r="S37" i="17"/>
  <c r="R37" i="17"/>
  <c r="Q37" i="17"/>
  <c r="P37" i="17"/>
  <c r="O37" i="17"/>
  <c r="N37" i="17"/>
  <c r="M37" i="17"/>
  <c r="L100" i="17"/>
  <c r="L37" i="17"/>
  <c r="K100" i="17"/>
  <c r="K37" i="17"/>
  <c r="J100" i="17"/>
  <c r="J37" i="17"/>
  <c r="I100" i="17"/>
  <c r="I37" i="17"/>
  <c r="H100" i="17"/>
  <c r="H37" i="17"/>
  <c r="G100" i="17"/>
  <c r="G37" i="17"/>
  <c r="F100" i="17"/>
  <c r="F37" i="17"/>
  <c r="E100" i="17"/>
  <c r="E37" i="17"/>
  <c r="D100" i="17"/>
  <c r="D37" i="17"/>
  <c r="C100" i="17"/>
  <c r="B100" i="17"/>
  <c r="AF260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B260" i="17"/>
  <c r="A260" i="17"/>
  <c r="AF259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D259" i="17"/>
  <c r="C259" i="17"/>
  <c r="B259" i="17"/>
  <c r="A259" i="17"/>
  <c r="AF258" i="17"/>
  <c r="AE258" i="17"/>
  <c r="AD258" i="17"/>
  <c r="AC258" i="17"/>
  <c r="AB258" i="17"/>
  <c r="AA258" i="17"/>
  <c r="Z258" i="17"/>
  <c r="Y258" i="17"/>
  <c r="X258" i="17"/>
  <c r="W258" i="17"/>
  <c r="V258" i="17"/>
  <c r="U258" i="17"/>
  <c r="T258" i="17"/>
  <c r="S258" i="17"/>
  <c r="R258" i="17"/>
  <c r="Q258" i="17"/>
  <c r="P258" i="17"/>
  <c r="O258" i="17"/>
  <c r="N258" i="17"/>
  <c r="M258" i="17"/>
  <c r="L258" i="17"/>
  <c r="K258" i="17"/>
  <c r="J258" i="17"/>
  <c r="I258" i="17"/>
  <c r="H258" i="17"/>
  <c r="G258" i="17"/>
  <c r="F258" i="17"/>
  <c r="E258" i="17"/>
  <c r="D258" i="17"/>
  <c r="C258" i="17"/>
  <c r="B258" i="17"/>
  <c r="A258" i="17"/>
  <c r="AF257" i="17"/>
  <c r="AE257" i="17"/>
  <c r="AD257" i="17"/>
  <c r="AC257" i="17"/>
  <c r="AB257" i="17"/>
  <c r="AA257" i="17"/>
  <c r="Z257" i="17"/>
  <c r="Y257" i="17"/>
  <c r="X257" i="17"/>
  <c r="W257" i="17"/>
  <c r="V257" i="17"/>
  <c r="U257" i="17"/>
  <c r="T257" i="17"/>
  <c r="S257" i="17"/>
  <c r="R257" i="17"/>
  <c r="Q257" i="17"/>
  <c r="P257" i="17"/>
  <c r="O257" i="17"/>
  <c r="N257" i="17"/>
  <c r="M257" i="17"/>
  <c r="L257" i="17"/>
  <c r="K257" i="17"/>
  <c r="J257" i="17"/>
  <c r="I257" i="17"/>
  <c r="H257" i="17"/>
  <c r="G257" i="17"/>
  <c r="F257" i="17"/>
  <c r="E257" i="17"/>
  <c r="D257" i="17"/>
  <c r="C257" i="17"/>
  <c r="B257" i="17"/>
  <c r="A257" i="17"/>
  <c r="AE256" i="17"/>
  <c r="AD256" i="17"/>
  <c r="AC256" i="17"/>
  <c r="AB256" i="17"/>
  <c r="AA256" i="17"/>
  <c r="Z256" i="17"/>
  <c r="Y256" i="17"/>
  <c r="X256" i="17"/>
  <c r="W256" i="17"/>
  <c r="V256" i="17"/>
  <c r="U256" i="17"/>
  <c r="T256" i="17"/>
  <c r="S256" i="17"/>
  <c r="R256" i="17"/>
  <c r="Q256" i="17"/>
  <c r="P256" i="17"/>
  <c r="F256" i="17"/>
  <c r="E256" i="17"/>
  <c r="D256" i="17"/>
  <c r="C256" i="17"/>
  <c r="B256" i="17"/>
  <c r="S231" i="17"/>
  <c r="AG221" i="17"/>
  <c r="AG55" i="17" s="1"/>
  <c r="AG56" i="17" s="1"/>
  <c r="AG3" i="17" s="1"/>
  <c r="AF221" i="17"/>
  <c r="AE221" i="17"/>
  <c r="AD221" i="17"/>
  <c r="AC221" i="17"/>
  <c r="AB221" i="17"/>
  <c r="AA221" i="17"/>
  <c r="Z221" i="17"/>
  <c r="Y221" i="17"/>
  <c r="X221" i="17"/>
  <c r="W221" i="17"/>
  <c r="V221" i="17"/>
  <c r="U221" i="17"/>
  <c r="T221" i="17"/>
  <c r="S221" i="17"/>
  <c r="R221" i="17"/>
  <c r="Q221" i="17"/>
  <c r="C221" i="17"/>
  <c r="G220" i="17"/>
  <c r="H220" i="17" s="1"/>
  <c r="F220" i="17"/>
  <c r="E220" i="17"/>
  <c r="D220" i="17"/>
  <c r="B220" i="17"/>
  <c r="AF256" i="17" s="1"/>
  <c r="E219" i="17"/>
  <c r="F219" i="17" s="1"/>
  <c r="G219" i="17" s="1"/>
  <c r="H219" i="17" s="1"/>
  <c r="I219" i="17" s="1"/>
  <c r="J219" i="17" s="1"/>
  <c r="K219" i="17" s="1"/>
  <c r="L219" i="17" s="1"/>
  <c r="M219" i="17" s="1"/>
  <c r="N219" i="17" s="1"/>
  <c r="O219" i="17" s="1"/>
  <c r="P219" i="17" s="1"/>
  <c r="D219" i="17"/>
  <c r="B219" i="17"/>
  <c r="E218" i="17"/>
  <c r="F218" i="17" s="1"/>
  <c r="G218" i="17" s="1"/>
  <c r="H218" i="17" s="1"/>
  <c r="I218" i="17" s="1"/>
  <c r="J218" i="17" s="1"/>
  <c r="K218" i="17" s="1"/>
  <c r="L218" i="17" s="1"/>
  <c r="M218" i="17" s="1"/>
  <c r="N218" i="17" s="1"/>
  <c r="O218" i="17" s="1"/>
  <c r="P218" i="17" s="1"/>
  <c r="D218" i="17"/>
  <c r="B218" i="17"/>
  <c r="E217" i="17"/>
  <c r="F217" i="17" s="1"/>
  <c r="G217" i="17" s="1"/>
  <c r="H217" i="17" s="1"/>
  <c r="I217" i="17" s="1"/>
  <c r="J217" i="17" s="1"/>
  <c r="K217" i="17" s="1"/>
  <c r="L217" i="17" s="1"/>
  <c r="M217" i="17" s="1"/>
  <c r="N217" i="17" s="1"/>
  <c r="O217" i="17" s="1"/>
  <c r="P217" i="17" s="1"/>
  <c r="D217" i="17"/>
  <c r="B217" i="17"/>
  <c r="B221" i="17" s="1"/>
  <c r="G216" i="17"/>
  <c r="H216" i="17" s="1"/>
  <c r="I216" i="17" s="1"/>
  <c r="J216" i="17" s="1"/>
  <c r="K216" i="17" s="1"/>
  <c r="L216" i="17" s="1"/>
  <c r="M216" i="17" s="1"/>
  <c r="N216" i="17" s="1"/>
  <c r="O216" i="17" s="1"/>
  <c r="P216" i="17" s="1"/>
  <c r="F216" i="17"/>
  <c r="E216" i="17"/>
  <c r="D216" i="17"/>
  <c r="B216" i="17"/>
  <c r="E215" i="17"/>
  <c r="F215" i="17" s="1"/>
  <c r="D215" i="17"/>
  <c r="D221" i="17" s="1"/>
  <c r="B215" i="17"/>
  <c r="B98" i="17" s="1"/>
  <c r="AG213" i="17"/>
  <c r="AF213" i="17"/>
  <c r="AE213" i="17"/>
  <c r="AD213" i="17"/>
  <c r="AC213" i="17"/>
  <c r="AB213" i="17"/>
  <c r="AA213" i="17"/>
  <c r="Z213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AH106" i="17"/>
  <c r="AI106" i="17" s="1"/>
  <c r="AH105" i="17"/>
  <c r="AI105" i="17" s="1"/>
  <c r="AH104" i="17"/>
  <c r="AI104" i="17" s="1"/>
  <c r="AH103" i="17"/>
  <c r="AI103" i="17" s="1"/>
  <c r="AH102" i="17"/>
  <c r="AI102" i="17" s="1"/>
  <c r="AH101" i="17"/>
  <c r="AI101" i="17" s="1"/>
  <c r="AH100" i="17"/>
  <c r="AI100" i="17" s="1"/>
  <c r="AH99" i="17"/>
  <c r="AI99" i="17" s="1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E98" i="17"/>
  <c r="D98" i="17"/>
  <c r="C98" i="17"/>
  <c r="AI97" i="17"/>
  <c r="AH97" i="17"/>
  <c r="AI96" i="17"/>
  <c r="AH96" i="17"/>
  <c r="AI95" i="17"/>
  <c r="AH95" i="17"/>
  <c r="AI94" i="17"/>
  <c r="AH94" i="17"/>
  <c r="AI93" i="17"/>
  <c r="AH93" i="17"/>
  <c r="AI92" i="17"/>
  <c r="AH92" i="17"/>
  <c r="AI91" i="17"/>
  <c r="AH91" i="17"/>
  <c r="AI90" i="17"/>
  <c r="AH90" i="17"/>
  <c r="AI89" i="17"/>
  <c r="AH89" i="17"/>
  <c r="K87" i="17"/>
  <c r="AI86" i="17"/>
  <c r="AH86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F81" i="17"/>
  <c r="AE81" i="17"/>
  <c r="AE87" i="17" s="1"/>
  <c r="AD81" i="17"/>
  <c r="AC81" i="17"/>
  <c r="AC87" i="17" s="1"/>
  <c r="AB81" i="17"/>
  <c r="AA81" i="17"/>
  <c r="Z81" i="17"/>
  <c r="Y81" i="17"/>
  <c r="X81" i="17"/>
  <c r="W81" i="17"/>
  <c r="V81" i="17"/>
  <c r="V87" i="17" s="1"/>
  <c r="U81" i="17"/>
  <c r="T81" i="17"/>
  <c r="T87" i="17" s="1"/>
  <c r="S81" i="17"/>
  <c r="S87" i="17" s="1"/>
  <c r="R81" i="17"/>
  <c r="Q81" i="17"/>
  <c r="Q87" i="17" s="1"/>
  <c r="P81" i="17"/>
  <c r="O81" i="17"/>
  <c r="O87" i="17" s="1"/>
  <c r="N81" i="17"/>
  <c r="M81" i="17"/>
  <c r="L81" i="17"/>
  <c r="K81" i="17"/>
  <c r="J81" i="17"/>
  <c r="I81" i="17"/>
  <c r="H81" i="17"/>
  <c r="G81" i="17"/>
  <c r="G87" i="17" s="1"/>
  <c r="F81" i="17"/>
  <c r="E81" i="17"/>
  <c r="D81" i="17"/>
  <c r="C81" i="17"/>
  <c r="B81" i="17"/>
  <c r="AI78" i="17"/>
  <c r="AH78" i="17"/>
  <c r="AI76" i="17"/>
  <c r="AH76" i="17"/>
  <c r="AG76" i="17"/>
  <c r="AI75" i="17"/>
  <c r="AH75" i="17"/>
  <c r="AI74" i="17"/>
  <c r="AH74" i="17"/>
  <c r="AI73" i="17"/>
  <c r="AH73" i="17"/>
  <c r="AG72" i="17"/>
  <c r="AF72" i="17"/>
  <c r="AE5" i="17" s="1"/>
  <c r="AE72" i="17"/>
  <c r="AD72" i="17"/>
  <c r="AC5" i="17" s="1"/>
  <c r="AC72" i="17"/>
  <c r="AB72" i="17"/>
  <c r="AA5" i="17" s="1"/>
  <c r="AA72" i="17"/>
  <c r="Z72" i="17"/>
  <c r="Y5" i="17" s="1"/>
  <c r="Y72" i="17"/>
  <c r="X5" i="17" s="1"/>
  <c r="X72" i="17"/>
  <c r="W5" i="17" s="1"/>
  <c r="W72" i="17"/>
  <c r="V72" i="17"/>
  <c r="U5" i="17" s="1"/>
  <c r="U72" i="17"/>
  <c r="T72" i="17"/>
  <c r="S72" i="17"/>
  <c r="R72" i="17"/>
  <c r="Q5" i="17" s="1"/>
  <c r="Q72" i="17"/>
  <c r="P5" i="17" s="1"/>
  <c r="P72" i="17"/>
  <c r="O5" i="17" s="1"/>
  <c r="O72" i="17"/>
  <c r="N5" i="17" s="1"/>
  <c r="N72" i="17"/>
  <c r="M5" i="17" s="1"/>
  <c r="M72" i="17"/>
  <c r="L5" i="17" s="1"/>
  <c r="L72" i="17"/>
  <c r="K72" i="17"/>
  <c r="J72" i="17"/>
  <c r="I5" i="17" s="1"/>
  <c r="I72" i="17"/>
  <c r="H5" i="17" s="1"/>
  <c r="H72" i="17"/>
  <c r="G5" i="17" s="1"/>
  <c r="G72" i="17"/>
  <c r="G88" i="17" s="1"/>
  <c r="F72" i="17"/>
  <c r="E5" i="17" s="1"/>
  <c r="E72" i="17"/>
  <c r="D5" i="17" s="1"/>
  <c r="D72" i="17"/>
  <c r="C72" i="17"/>
  <c r="B72" i="17"/>
  <c r="AI71" i="17"/>
  <c r="AH71" i="17"/>
  <c r="AI70" i="17"/>
  <c r="AH70" i="17"/>
  <c r="AI69" i="17"/>
  <c r="AH69" i="17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G60" i="17"/>
  <c r="AG4" i="17" s="1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I59" i="17"/>
  <c r="AH59" i="17"/>
  <c r="AI58" i="17"/>
  <c r="AH58" i="17"/>
  <c r="AI57" i="17"/>
  <c r="AH57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I41" i="17"/>
  <c r="AH41" i="17"/>
  <c r="AI40" i="17"/>
  <c r="AH40" i="17"/>
  <c r="AI39" i="17"/>
  <c r="AH39" i="17"/>
  <c r="AG38" i="17"/>
  <c r="AF38" i="17"/>
  <c r="AE38" i="17"/>
  <c r="AD38" i="17"/>
  <c r="AC38" i="17"/>
  <c r="AC77" i="17" s="1"/>
  <c r="AC79" i="17" s="1"/>
  <c r="AB38" i="17"/>
  <c r="AA38" i="17"/>
  <c r="Z38" i="17"/>
  <c r="X38" i="17"/>
  <c r="W38" i="17"/>
  <c r="V38" i="17"/>
  <c r="U38" i="17"/>
  <c r="T38" i="17"/>
  <c r="T77" i="17" s="1"/>
  <c r="T79" i="17" s="1"/>
  <c r="S38" i="17"/>
  <c r="R38" i="17"/>
  <c r="Q38" i="17"/>
  <c r="P38" i="17"/>
  <c r="O38" i="17"/>
  <c r="O77" i="17" s="1"/>
  <c r="O79" i="17" s="1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D5" i="17"/>
  <c r="T5" i="17"/>
  <c r="S5" i="17"/>
  <c r="K4" i="17"/>
  <c r="B4" i="17"/>
  <c r="S232" i="17" s="1"/>
  <c r="AG2" i="17"/>
  <c r="AF100" i="16"/>
  <c r="AF37" i="16"/>
  <c r="AE100" i="16"/>
  <c r="AE37" i="16"/>
  <c r="AD100" i="16"/>
  <c r="AD37" i="16"/>
  <c r="AC100" i="16"/>
  <c r="AC37" i="16"/>
  <c r="E4" i="18"/>
  <c r="E4" i="17"/>
  <c r="AH98" i="22" l="1"/>
  <c r="AI98" i="22"/>
  <c r="P221" i="21"/>
  <c r="P98" i="21"/>
  <c r="M256" i="20"/>
  <c r="O220" i="20"/>
  <c r="O215" i="20"/>
  <c r="N221" i="20"/>
  <c r="N98" i="20"/>
  <c r="AF87" i="18"/>
  <c r="J221" i="19"/>
  <c r="K215" i="19"/>
  <c r="J98" i="19"/>
  <c r="K256" i="19"/>
  <c r="M220" i="19"/>
  <c r="AF77" i="18"/>
  <c r="AF79" i="18" s="1"/>
  <c r="AF80" i="18" s="1"/>
  <c r="AF88" i="18"/>
  <c r="AE87" i="18"/>
  <c r="AE88" i="18" s="1"/>
  <c r="AD5" i="18"/>
  <c r="AE77" i="18"/>
  <c r="AE79" i="18" s="1"/>
  <c r="AE80" i="18" s="1"/>
  <c r="AD88" i="18"/>
  <c r="AC5" i="18"/>
  <c r="AD77" i="18"/>
  <c r="AD79" i="18" s="1"/>
  <c r="AV235" i="18" s="1"/>
  <c r="AC77" i="18"/>
  <c r="AC79" i="18" s="1"/>
  <c r="AU235" i="18" s="1"/>
  <c r="AC87" i="18"/>
  <c r="AB77" i="18"/>
  <c r="AB79" i="18" s="1"/>
  <c r="AA5" i="18"/>
  <c r="AB87" i="18"/>
  <c r="AB88" i="18" s="1"/>
  <c r="AA87" i="18"/>
  <c r="AA77" i="18"/>
  <c r="AA79" i="18" s="1"/>
  <c r="AS235" i="18" s="1"/>
  <c r="Z87" i="18"/>
  <c r="Z88" i="18"/>
  <c r="Y5" i="18"/>
  <c r="Z77" i="18"/>
  <c r="Z79" i="18" s="1"/>
  <c r="Z80" i="18" s="1"/>
  <c r="Y87" i="18"/>
  <c r="Y88" i="18" s="1"/>
  <c r="Y77" i="18"/>
  <c r="Y79" i="18" s="1"/>
  <c r="X88" i="18"/>
  <c r="W88" i="18"/>
  <c r="V5" i="18"/>
  <c r="V77" i="18"/>
  <c r="V79" i="18" s="1"/>
  <c r="V80" i="18" s="1"/>
  <c r="V88" i="18"/>
  <c r="U5" i="18"/>
  <c r="W77" i="18"/>
  <c r="W79" i="18" s="1"/>
  <c r="AO235" i="18" s="1"/>
  <c r="X77" i="18"/>
  <c r="X79" i="18" s="1"/>
  <c r="X80" i="18" s="1"/>
  <c r="U77" i="18"/>
  <c r="U79" i="18" s="1"/>
  <c r="U7" i="18" s="1"/>
  <c r="U87" i="18"/>
  <c r="T77" i="18"/>
  <c r="T79" i="18" s="1"/>
  <c r="AL235" i="18" s="1"/>
  <c r="S5" i="18"/>
  <c r="T87" i="18"/>
  <c r="T88" i="18" s="1"/>
  <c r="S87" i="18"/>
  <c r="S77" i="18"/>
  <c r="S79" i="18" s="1"/>
  <c r="S80" i="18" s="1"/>
  <c r="Q5" i="18"/>
  <c r="R87" i="18"/>
  <c r="R88" i="18" s="1"/>
  <c r="R77" i="18"/>
  <c r="R79" i="18" s="1"/>
  <c r="R80" i="18" s="1"/>
  <c r="P87" i="18"/>
  <c r="Q87" i="18"/>
  <c r="Q88" i="18" s="1"/>
  <c r="Q77" i="18"/>
  <c r="Q79" i="18" s="1"/>
  <c r="Q80" i="18" s="1"/>
  <c r="O88" i="18"/>
  <c r="P88" i="18"/>
  <c r="P77" i="18"/>
  <c r="P79" i="18" s="1"/>
  <c r="P80" i="18" s="1"/>
  <c r="O77" i="18"/>
  <c r="O79" i="18" s="1"/>
  <c r="AG235" i="18" s="1"/>
  <c r="N87" i="18"/>
  <c r="N88" i="18" s="1"/>
  <c r="N77" i="18"/>
  <c r="N79" i="18" s="1"/>
  <c r="M5" i="18"/>
  <c r="M87" i="18"/>
  <c r="M77" i="18"/>
  <c r="M79" i="18" s="1"/>
  <c r="AE235" i="18" s="1"/>
  <c r="J87" i="18"/>
  <c r="K87" i="18"/>
  <c r="L87" i="18"/>
  <c r="L88" i="18" s="1"/>
  <c r="K77" i="18"/>
  <c r="K79" i="18" s="1"/>
  <c r="K7" i="18" s="1"/>
  <c r="J88" i="18"/>
  <c r="J77" i="18"/>
  <c r="J79" i="18" s="1"/>
  <c r="AB235" i="18" s="1"/>
  <c r="L77" i="18"/>
  <c r="L79" i="18" s="1"/>
  <c r="AD235" i="18" s="1"/>
  <c r="G77" i="18"/>
  <c r="G79" i="18" s="1"/>
  <c r="H77" i="18"/>
  <c r="H79" i="18" s="1"/>
  <c r="Z235" i="18" s="1"/>
  <c r="G87" i="18"/>
  <c r="G88" i="18" s="1"/>
  <c r="H87" i="18"/>
  <c r="H88" i="18" s="1"/>
  <c r="I77" i="18"/>
  <c r="I79" i="18" s="1"/>
  <c r="E5" i="18"/>
  <c r="F87" i="18"/>
  <c r="F88" i="18" s="1"/>
  <c r="AI85" i="18"/>
  <c r="F77" i="18"/>
  <c r="F79" i="18" s="1"/>
  <c r="F7" i="18" s="1"/>
  <c r="AI81" i="18"/>
  <c r="AH42" i="18"/>
  <c r="E77" i="18"/>
  <c r="E79" i="18" s="1"/>
  <c r="E80" i="18" s="1"/>
  <c r="AI83" i="18"/>
  <c r="D87" i="18"/>
  <c r="D88" i="18"/>
  <c r="AI82" i="18"/>
  <c r="C5" i="18"/>
  <c r="AI60" i="18"/>
  <c r="D77" i="18"/>
  <c r="D79" i="18" s="1"/>
  <c r="D80" i="18" s="1"/>
  <c r="AH84" i="18"/>
  <c r="C87" i="18"/>
  <c r="C77" i="18"/>
  <c r="C79" i="18" s="1"/>
  <c r="C80" i="18" s="1"/>
  <c r="AI56" i="18"/>
  <c r="AH83" i="18"/>
  <c r="B77" i="18"/>
  <c r="H4" i="18"/>
  <c r="B79" i="18"/>
  <c r="AA80" i="18"/>
  <c r="J7" i="18"/>
  <c r="AB80" i="18"/>
  <c r="AT235" i="18"/>
  <c r="AB7" i="18"/>
  <c r="AG79" i="18"/>
  <c r="D256" i="18"/>
  <c r="F220" i="18"/>
  <c r="X235" i="18"/>
  <c r="AF235" i="18"/>
  <c r="N7" i="18"/>
  <c r="AN235" i="18"/>
  <c r="V7" i="18"/>
  <c r="AD80" i="18"/>
  <c r="W235" i="18"/>
  <c r="E7" i="18"/>
  <c r="Y235" i="18"/>
  <c r="G7" i="18"/>
  <c r="G80" i="18"/>
  <c r="C88" i="18"/>
  <c r="K88" i="18"/>
  <c r="S88" i="18"/>
  <c r="AA88" i="18"/>
  <c r="M7" i="18"/>
  <c r="M80" i="18"/>
  <c r="H80" i="18"/>
  <c r="H7" i="18"/>
  <c r="AG6" i="18"/>
  <c r="I80" i="18"/>
  <c r="I7" i="18"/>
  <c r="Y80" i="18"/>
  <c r="AQ235" i="18"/>
  <c r="Y7" i="18"/>
  <c r="AG77" i="18"/>
  <c r="E88" i="18"/>
  <c r="M88" i="18"/>
  <c r="AC88" i="18"/>
  <c r="AI38" i="18"/>
  <c r="AI42" i="18"/>
  <c r="AI84" i="18"/>
  <c r="AH85" i="18"/>
  <c r="D232" i="18"/>
  <c r="E215" i="18"/>
  <c r="AH56" i="18"/>
  <c r="AH60" i="18"/>
  <c r="AH72" i="18"/>
  <c r="AH81" i="18"/>
  <c r="B87" i="18"/>
  <c r="B88" i="18" s="1"/>
  <c r="AI72" i="18"/>
  <c r="AH82" i="18"/>
  <c r="AH38" i="18"/>
  <c r="AF87" i="17"/>
  <c r="AF88" i="17"/>
  <c r="AF77" i="17"/>
  <c r="AF79" i="17" s="1"/>
  <c r="AX235" i="17" s="1"/>
  <c r="AE88" i="17"/>
  <c r="AD87" i="17"/>
  <c r="AD88" i="17" s="1"/>
  <c r="AE77" i="17"/>
  <c r="AE79" i="17" s="1"/>
  <c r="AD77" i="17"/>
  <c r="AD79" i="17" s="1"/>
  <c r="AC88" i="17"/>
  <c r="AB5" i="17"/>
  <c r="AB87" i="17"/>
  <c r="AB88" i="17"/>
  <c r="AB77" i="17"/>
  <c r="AB79" i="17" s="1"/>
  <c r="AB80" i="17" s="1"/>
  <c r="AA87" i="17"/>
  <c r="AA88" i="17" s="1"/>
  <c r="AA77" i="17"/>
  <c r="AA79" i="17" s="1"/>
  <c r="Z87" i="17"/>
  <c r="Z77" i="17"/>
  <c r="Z79" i="17" s="1"/>
  <c r="Y87" i="17"/>
  <c r="Y77" i="17"/>
  <c r="Y79" i="17" s="1"/>
  <c r="X87" i="17"/>
  <c r="X88" i="17" s="1"/>
  <c r="X77" i="17"/>
  <c r="X79" i="17" s="1"/>
  <c r="W87" i="17"/>
  <c r="W88" i="17" s="1"/>
  <c r="V5" i="17"/>
  <c r="W77" i="17"/>
  <c r="W79" i="17" s="1"/>
  <c r="V77" i="17"/>
  <c r="V79" i="17" s="1"/>
  <c r="V88" i="17"/>
  <c r="U87" i="17"/>
  <c r="U88" i="17" s="1"/>
  <c r="U77" i="17"/>
  <c r="U79" i="17" s="1"/>
  <c r="T88" i="17"/>
  <c r="S88" i="17"/>
  <c r="S77" i="17"/>
  <c r="S79" i="17" s="1"/>
  <c r="R87" i="17"/>
  <c r="R77" i="17"/>
  <c r="R79" i="17" s="1"/>
  <c r="Q77" i="17"/>
  <c r="Q79" i="17" s="1"/>
  <c r="P87" i="17"/>
  <c r="P88" i="17" s="1"/>
  <c r="P77" i="17"/>
  <c r="P79" i="17" s="1"/>
  <c r="O88" i="17"/>
  <c r="N87" i="17"/>
  <c r="N88" i="17" s="1"/>
  <c r="N77" i="17"/>
  <c r="N79" i="17" s="1"/>
  <c r="M87" i="17"/>
  <c r="M88" i="17" s="1"/>
  <c r="M77" i="17"/>
  <c r="M79" i="17" s="1"/>
  <c r="L87" i="17"/>
  <c r="L88" i="17" s="1"/>
  <c r="K5" i="17"/>
  <c r="L77" i="17"/>
  <c r="L79" i="17" s="1"/>
  <c r="AD235" i="17" s="1"/>
  <c r="K88" i="17"/>
  <c r="K77" i="17"/>
  <c r="K79" i="17" s="1"/>
  <c r="K80" i="17" s="1"/>
  <c r="J77" i="17"/>
  <c r="J79" i="17" s="1"/>
  <c r="AB235" i="17" s="1"/>
  <c r="J87" i="17"/>
  <c r="I77" i="17"/>
  <c r="I79" i="17" s="1"/>
  <c r="AA235" i="17" s="1"/>
  <c r="I87" i="17"/>
  <c r="I88" i="17" s="1"/>
  <c r="H87" i="17"/>
  <c r="H88" i="17" s="1"/>
  <c r="H77" i="17"/>
  <c r="H79" i="17" s="1"/>
  <c r="H80" i="17" s="1"/>
  <c r="F5" i="17"/>
  <c r="G77" i="17"/>
  <c r="G79" i="17" s="1"/>
  <c r="G80" i="17" s="1"/>
  <c r="AI37" i="17"/>
  <c r="F87" i="17"/>
  <c r="F88" i="17" s="1"/>
  <c r="F77" i="17"/>
  <c r="F79" i="17" s="1"/>
  <c r="F80" i="17" s="1"/>
  <c r="AH37" i="17"/>
  <c r="E87" i="17"/>
  <c r="E77" i="17"/>
  <c r="E79" i="17" s="1"/>
  <c r="AI82" i="17"/>
  <c r="E88" i="17"/>
  <c r="AI81" i="17"/>
  <c r="AH60" i="17"/>
  <c r="AH42" i="17"/>
  <c r="C5" i="17"/>
  <c r="D87" i="17"/>
  <c r="D88" i="17" s="1"/>
  <c r="AI85" i="17"/>
  <c r="D77" i="17"/>
  <c r="D79" i="17" s="1"/>
  <c r="C87" i="17"/>
  <c r="AH84" i="17"/>
  <c r="AI83" i="17"/>
  <c r="C77" i="17"/>
  <c r="C79" i="17" s="1"/>
  <c r="C7" i="17" s="1"/>
  <c r="AH56" i="17"/>
  <c r="AH82" i="17"/>
  <c r="AI72" i="17"/>
  <c r="AI60" i="17"/>
  <c r="B77" i="17"/>
  <c r="B79" i="17" s="1"/>
  <c r="H4" i="17"/>
  <c r="AW235" i="17"/>
  <c r="AE7" i="17"/>
  <c r="AE80" i="17"/>
  <c r="X80" i="17"/>
  <c r="AP235" i="17"/>
  <c r="X7" i="17"/>
  <c r="X235" i="17"/>
  <c r="F7" i="17"/>
  <c r="AF235" i="17"/>
  <c r="N7" i="17"/>
  <c r="N80" i="17"/>
  <c r="AN235" i="17"/>
  <c r="V7" i="17"/>
  <c r="V80" i="17"/>
  <c r="AV235" i="17"/>
  <c r="AD7" i="17"/>
  <c r="AD80" i="17"/>
  <c r="Y235" i="17"/>
  <c r="G7" i="17"/>
  <c r="I7" i="17"/>
  <c r="Q80" i="17"/>
  <c r="AI235" i="17"/>
  <c r="Q7" i="17"/>
  <c r="Y80" i="17"/>
  <c r="AQ235" i="17"/>
  <c r="Y7" i="17"/>
  <c r="AG77" i="17"/>
  <c r="AG235" i="17"/>
  <c r="O7" i="17"/>
  <c r="O80" i="17"/>
  <c r="F98" i="17"/>
  <c r="F221" i="17"/>
  <c r="G215" i="17"/>
  <c r="AJ235" i="17"/>
  <c r="R7" i="17"/>
  <c r="R80" i="17"/>
  <c r="U235" i="17"/>
  <c r="S80" i="17"/>
  <c r="AK235" i="17"/>
  <c r="S7" i="17"/>
  <c r="AA80" i="17"/>
  <c r="AS235" i="17"/>
  <c r="AA7" i="17"/>
  <c r="AG79" i="17"/>
  <c r="Z80" i="17"/>
  <c r="AR235" i="17"/>
  <c r="Z7" i="17"/>
  <c r="D80" i="17"/>
  <c r="V235" i="17"/>
  <c r="D7" i="17"/>
  <c r="L80" i="17"/>
  <c r="T80" i="17"/>
  <c r="AL235" i="17"/>
  <c r="T7" i="17"/>
  <c r="AO235" i="17"/>
  <c r="W7" i="17"/>
  <c r="W80" i="17"/>
  <c r="P80" i="17"/>
  <c r="AH235" i="17"/>
  <c r="P7" i="17"/>
  <c r="J80" i="17"/>
  <c r="AG6" i="17"/>
  <c r="E7" i="17"/>
  <c r="W235" i="17"/>
  <c r="E80" i="17"/>
  <c r="AE235" i="17"/>
  <c r="M7" i="17"/>
  <c r="M80" i="17"/>
  <c r="AM235" i="17"/>
  <c r="U80" i="17"/>
  <c r="U7" i="17"/>
  <c r="AU235" i="17"/>
  <c r="AC7" i="17"/>
  <c r="AC80" i="17"/>
  <c r="G256" i="17"/>
  <c r="I220" i="17"/>
  <c r="AI56" i="17"/>
  <c r="B5" i="17"/>
  <c r="J5" i="17"/>
  <c r="R5" i="17"/>
  <c r="Z5" i="17"/>
  <c r="AI38" i="17"/>
  <c r="AI42" i="17"/>
  <c r="AI84" i="17"/>
  <c r="AH85" i="17"/>
  <c r="E221" i="17"/>
  <c r="D232" i="17"/>
  <c r="J88" i="17"/>
  <c r="Z88" i="17"/>
  <c r="AH72" i="17"/>
  <c r="AH81" i="17"/>
  <c r="B87" i="17"/>
  <c r="B88" i="17" s="1"/>
  <c r="Q88" i="17"/>
  <c r="Y88" i="17"/>
  <c r="AF5" i="17"/>
  <c r="AH83" i="17"/>
  <c r="C88" i="17"/>
  <c r="R88" i="17"/>
  <c r="AH38" i="17"/>
  <c r="AB100" i="16"/>
  <c r="AB37" i="16"/>
  <c r="AA100" i="16"/>
  <c r="AA37" i="16"/>
  <c r="Z100" i="16"/>
  <c r="Z37" i="16"/>
  <c r="Y100" i="16"/>
  <c r="Y37" i="16"/>
  <c r="R37" i="16"/>
  <c r="X100" i="16"/>
  <c r="X37" i="16"/>
  <c r="W100" i="16"/>
  <c r="W37" i="16"/>
  <c r="V100" i="16"/>
  <c r="T37" i="16"/>
  <c r="U37" i="16"/>
  <c r="V37" i="16"/>
  <c r="S37" i="16"/>
  <c r="V38" i="16"/>
  <c r="V42" i="16"/>
  <c r="AI98" i="21" l="1"/>
  <c r="AH98" i="21"/>
  <c r="O221" i="20"/>
  <c r="P215" i="20"/>
  <c r="O98" i="20"/>
  <c r="N256" i="20"/>
  <c r="P220" i="20"/>
  <c r="O256" i="20" s="1"/>
  <c r="AD7" i="18"/>
  <c r="AC80" i="18"/>
  <c r="AC7" i="18"/>
  <c r="AF7" i="18"/>
  <c r="AX235" i="18"/>
  <c r="L256" i="19"/>
  <c r="N220" i="19"/>
  <c r="K221" i="19"/>
  <c r="L215" i="19"/>
  <c r="K98" i="19"/>
  <c r="AE7" i="18"/>
  <c r="AW235" i="18"/>
  <c r="AA7" i="18"/>
  <c r="Z7" i="18"/>
  <c r="AR235" i="18"/>
  <c r="X7" i="18"/>
  <c r="AP235" i="18"/>
  <c r="W80" i="18"/>
  <c r="W7" i="18"/>
  <c r="AM235" i="18"/>
  <c r="T7" i="18"/>
  <c r="U80" i="18"/>
  <c r="U88" i="18"/>
  <c r="S7" i="18"/>
  <c r="AK235" i="18"/>
  <c r="T80" i="18"/>
  <c r="R7" i="18"/>
  <c r="AJ235" i="18"/>
  <c r="Q7" i="18"/>
  <c r="AI235" i="18"/>
  <c r="P7" i="18"/>
  <c r="AH235" i="18"/>
  <c r="O80" i="18"/>
  <c r="O7" i="18"/>
  <c r="N80" i="18"/>
  <c r="AC235" i="18"/>
  <c r="J80" i="18"/>
  <c r="K80" i="18"/>
  <c r="L7" i="18"/>
  <c r="L80" i="18"/>
  <c r="C230" i="18"/>
  <c r="B230" i="18"/>
  <c r="AA235" i="18"/>
  <c r="F80" i="18"/>
  <c r="D7" i="18"/>
  <c r="V235" i="18"/>
  <c r="AH77" i="18"/>
  <c r="AF80" i="17"/>
  <c r="AF7" i="17"/>
  <c r="U235" i="18"/>
  <c r="AI77" i="18"/>
  <c r="C7" i="18"/>
  <c r="F215" i="18"/>
  <c r="E98" i="18"/>
  <c r="E221" i="18"/>
  <c r="AI88" i="18"/>
  <c r="AH88" i="18"/>
  <c r="E256" i="18"/>
  <c r="G220" i="18"/>
  <c r="AI87" i="18"/>
  <c r="AH87" i="18"/>
  <c r="B80" i="18"/>
  <c r="AH80" i="18" s="1"/>
  <c r="AI79" i="18"/>
  <c r="AH79" i="18"/>
  <c r="T235" i="18"/>
  <c r="B7" i="18"/>
  <c r="AB7" i="17"/>
  <c r="AT235" i="17"/>
  <c r="J7" i="17"/>
  <c r="K7" i="17"/>
  <c r="AC235" i="17"/>
  <c r="L7" i="17"/>
  <c r="I80" i="17"/>
  <c r="B230" i="17"/>
  <c r="Z235" i="17"/>
  <c r="C230" i="17"/>
  <c r="H7" i="17"/>
  <c r="AH77" i="17"/>
  <c r="C80" i="17"/>
  <c r="AI77" i="17"/>
  <c r="H215" i="17"/>
  <c r="G98" i="17"/>
  <c r="G221" i="17"/>
  <c r="AH88" i="17"/>
  <c r="AI88" i="17"/>
  <c r="AI87" i="17"/>
  <c r="AH87" i="17"/>
  <c r="H256" i="17"/>
  <c r="J220" i="17"/>
  <c r="B80" i="17"/>
  <c r="AH80" i="17" s="1"/>
  <c r="AI79" i="17"/>
  <c r="AH79" i="17"/>
  <c r="T235" i="17"/>
  <c r="B7" i="17"/>
  <c r="A7" i="17" s="1"/>
  <c r="U100" i="16"/>
  <c r="U38" i="16"/>
  <c r="T100" i="16"/>
  <c r="AI63" i="16"/>
  <c r="S38" i="16"/>
  <c r="S42" i="16"/>
  <c r="S56" i="16"/>
  <c r="S60" i="16"/>
  <c r="S72" i="16"/>
  <c r="S87" i="16"/>
  <c r="S98" i="16"/>
  <c r="S100" i="16"/>
  <c r="Q37" i="16"/>
  <c r="P37" i="16"/>
  <c r="O37" i="16"/>
  <c r="N37" i="16"/>
  <c r="M37" i="16"/>
  <c r="L37" i="16"/>
  <c r="K37" i="16"/>
  <c r="J37" i="16"/>
  <c r="G37" i="16"/>
  <c r="F37" i="16"/>
  <c r="E37" i="16"/>
  <c r="D100" i="16"/>
  <c r="D99" i="16"/>
  <c r="B37" i="16"/>
  <c r="D37" i="16"/>
  <c r="AI37" i="16"/>
  <c r="C100" i="16"/>
  <c r="C99" i="16"/>
  <c r="C37" i="16"/>
  <c r="B98" i="16"/>
  <c r="B85" i="16"/>
  <c r="B84" i="16"/>
  <c r="B87" i="16" s="1"/>
  <c r="B88" i="16" s="1"/>
  <c r="B83" i="16"/>
  <c r="B82" i="16"/>
  <c r="B81" i="16"/>
  <c r="B72" i="16"/>
  <c r="AF5" i="16" s="1"/>
  <c r="B60" i="16"/>
  <c r="B56" i="16"/>
  <c r="B42" i="16"/>
  <c r="B38" i="16"/>
  <c r="AF260" i="16"/>
  <c r="AE260" i="16"/>
  <c r="AD260" i="16"/>
  <c r="AC260" i="16"/>
  <c r="AB260" i="16"/>
  <c r="AA260" i="16"/>
  <c r="Z260" i="16"/>
  <c r="Y260" i="16"/>
  <c r="X260" i="16"/>
  <c r="W260" i="16"/>
  <c r="V260" i="16"/>
  <c r="U260" i="16"/>
  <c r="T260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B260" i="16"/>
  <c r="A260" i="16"/>
  <c r="AF259" i="16"/>
  <c r="AE259" i="16"/>
  <c r="AD259" i="16"/>
  <c r="AC259" i="16"/>
  <c r="AB259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D259" i="16"/>
  <c r="C259" i="16"/>
  <c r="B259" i="16"/>
  <c r="A259" i="16"/>
  <c r="AF258" i="16"/>
  <c r="AE258" i="16"/>
  <c r="AD258" i="16"/>
  <c r="AC258" i="16"/>
  <c r="AB258" i="16"/>
  <c r="AA258" i="16"/>
  <c r="Z258" i="16"/>
  <c r="Y258" i="16"/>
  <c r="X258" i="16"/>
  <c r="W258" i="16"/>
  <c r="V258" i="16"/>
  <c r="U258" i="16"/>
  <c r="T258" i="16"/>
  <c r="S258" i="16"/>
  <c r="R258" i="16"/>
  <c r="Q258" i="16"/>
  <c r="P258" i="16"/>
  <c r="O258" i="16"/>
  <c r="N258" i="16"/>
  <c r="M258" i="16"/>
  <c r="L258" i="16"/>
  <c r="K258" i="16"/>
  <c r="J258" i="16"/>
  <c r="I258" i="16"/>
  <c r="H258" i="16"/>
  <c r="G258" i="16"/>
  <c r="F258" i="16"/>
  <c r="E258" i="16"/>
  <c r="D258" i="16"/>
  <c r="C258" i="16"/>
  <c r="B258" i="16"/>
  <c r="A258" i="16"/>
  <c r="AF257" i="16"/>
  <c r="AE257" i="16"/>
  <c r="AD257" i="16"/>
  <c r="AC257" i="16"/>
  <c r="AB257" i="16"/>
  <c r="AA257" i="16"/>
  <c r="Z257" i="16"/>
  <c r="Y257" i="16"/>
  <c r="X257" i="16"/>
  <c r="W257" i="16"/>
  <c r="V257" i="16"/>
  <c r="U257" i="16"/>
  <c r="T257" i="16"/>
  <c r="S257" i="16"/>
  <c r="R257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C257" i="16"/>
  <c r="B257" i="16"/>
  <c r="A257" i="16"/>
  <c r="AE256" i="16"/>
  <c r="AD256" i="16"/>
  <c r="AC256" i="16"/>
  <c r="AB256" i="16"/>
  <c r="AA256" i="16"/>
  <c r="Z256" i="16"/>
  <c r="Y256" i="16"/>
  <c r="X256" i="16"/>
  <c r="W256" i="16"/>
  <c r="V256" i="16"/>
  <c r="U256" i="16"/>
  <c r="T256" i="16"/>
  <c r="S256" i="16"/>
  <c r="R256" i="16"/>
  <c r="Q256" i="16"/>
  <c r="P256" i="16"/>
  <c r="C256" i="16"/>
  <c r="B256" i="16"/>
  <c r="S231" i="16"/>
  <c r="AG221" i="16"/>
  <c r="AF221" i="16"/>
  <c r="AE221" i="16"/>
  <c r="AD221" i="16"/>
  <c r="AC221" i="16"/>
  <c r="AB221" i="16"/>
  <c r="AA221" i="16"/>
  <c r="Z221" i="16"/>
  <c r="Y221" i="16"/>
  <c r="X221" i="16"/>
  <c r="W221" i="16"/>
  <c r="V221" i="16"/>
  <c r="U221" i="16"/>
  <c r="T221" i="16"/>
  <c r="S221" i="16"/>
  <c r="R221" i="16"/>
  <c r="Q221" i="16"/>
  <c r="C221" i="16"/>
  <c r="E220" i="16"/>
  <c r="D256" i="16" s="1"/>
  <c r="D220" i="16"/>
  <c r="B220" i="16"/>
  <c r="AF256" i="16" s="1"/>
  <c r="D219" i="16"/>
  <c r="E219" i="16" s="1"/>
  <c r="F219" i="16" s="1"/>
  <c r="G219" i="16" s="1"/>
  <c r="H219" i="16" s="1"/>
  <c r="I219" i="16" s="1"/>
  <c r="J219" i="16" s="1"/>
  <c r="K219" i="16" s="1"/>
  <c r="L219" i="16" s="1"/>
  <c r="M219" i="16" s="1"/>
  <c r="N219" i="16" s="1"/>
  <c r="O219" i="16" s="1"/>
  <c r="P219" i="16" s="1"/>
  <c r="B219" i="16"/>
  <c r="E218" i="16"/>
  <c r="F218" i="16" s="1"/>
  <c r="G218" i="16" s="1"/>
  <c r="H218" i="16" s="1"/>
  <c r="I218" i="16" s="1"/>
  <c r="J218" i="16" s="1"/>
  <c r="K218" i="16" s="1"/>
  <c r="L218" i="16" s="1"/>
  <c r="M218" i="16" s="1"/>
  <c r="N218" i="16" s="1"/>
  <c r="O218" i="16" s="1"/>
  <c r="P218" i="16" s="1"/>
  <c r="D218" i="16"/>
  <c r="B218" i="16"/>
  <c r="G217" i="16"/>
  <c r="H217" i="16" s="1"/>
  <c r="I217" i="16" s="1"/>
  <c r="J217" i="16" s="1"/>
  <c r="K217" i="16" s="1"/>
  <c r="L217" i="16" s="1"/>
  <c r="M217" i="16" s="1"/>
  <c r="N217" i="16" s="1"/>
  <c r="O217" i="16" s="1"/>
  <c r="P217" i="16" s="1"/>
  <c r="F217" i="16"/>
  <c r="E217" i="16"/>
  <c r="D217" i="16"/>
  <c r="B217" i="16"/>
  <c r="E216" i="16"/>
  <c r="F216" i="16" s="1"/>
  <c r="G216" i="16" s="1"/>
  <c r="H216" i="16" s="1"/>
  <c r="I216" i="16" s="1"/>
  <c r="J216" i="16" s="1"/>
  <c r="K216" i="16" s="1"/>
  <c r="L216" i="16" s="1"/>
  <c r="M216" i="16" s="1"/>
  <c r="N216" i="16" s="1"/>
  <c r="O216" i="16" s="1"/>
  <c r="P216" i="16" s="1"/>
  <c r="D216" i="16"/>
  <c r="B216" i="16"/>
  <c r="D215" i="16"/>
  <c r="D221" i="16" s="1"/>
  <c r="B215" i="16"/>
  <c r="B221" i="16" s="1"/>
  <c r="AG213" i="16"/>
  <c r="AF213" i="16"/>
  <c r="AE213" i="16"/>
  <c r="AD213" i="16"/>
  <c r="AC213" i="16"/>
  <c r="AB213" i="16"/>
  <c r="AA213" i="16"/>
  <c r="Z213" i="16"/>
  <c r="Y213" i="16"/>
  <c r="X213" i="16"/>
  <c r="W213" i="16"/>
  <c r="V213" i="16"/>
  <c r="U213" i="16"/>
  <c r="T213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B213" i="16"/>
  <c r="AH106" i="16"/>
  <c r="AI106" i="16" s="1"/>
  <c r="AH105" i="16"/>
  <c r="AI105" i="16" s="1"/>
  <c r="AH104" i="16"/>
  <c r="AI104" i="16" s="1"/>
  <c r="AH103" i="16"/>
  <c r="AI103" i="16" s="1"/>
  <c r="AH102" i="16"/>
  <c r="AI102" i="16" s="1"/>
  <c r="AH101" i="16"/>
  <c r="AI101" i="16" s="1"/>
  <c r="AH100" i="16"/>
  <c r="AI100" i="16" s="1"/>
  <c r="AH99" i="16"/>
  <c r="AI99" i="16" s="1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R98" i="16"/>
  <c r="Q98" i="16"/>
  <c r="D98" i="16"/>
  <c r="C98" i="16"/>
  <c r="AI97" i="16"/>
  <c r="AH97" i="16"/>
  <c r="AI96" i="16"/>
  <c r="AH96" i="16"/>
  <c r="AI95" i="16"/>
  <c r="AH95" i="16"/>
  <c r="AI94" i="16"/>
  <c r="AH94" i="16"/>
  <c r="AI93" i="16"/>
  <c r="AH93" i="16"/>
  <c r="AI92" i="16"/>
  <c r="AH92" i="16"/>
  <c r="AI91" i="16"/>
  <c r="AH91" i="16"/>
  <c r="AI90" i="16"/>
  <c r="AH90" i="16"/>
  <c r="AI89" i="16"/>
  <c r="AH89" i="16"/>
  <c r="AI86" i="16"/>
  <c r="AH86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AF81" i="16"/>
  <c r="AE81" i="16"/>
  <c r="AE87" i="16" s="1"/>
  <c r="AD81" i="16"/>
  <c r="AC81" i="16"/>
  <c r="AB81" i="16"/>
  <c r="AA81" i="16"/>
  <c r="Z81" i="16"/>
  <c r="Y81" i="16"/>
  <c r="Y87" i="16" s="1"/>
  <c r="X81" i="16"/>
  <c r="X87" i="16" s="1"/>
  <c r="W81" i="16"/>
  <c r="W87" i="16" s="1"/>
  <c r="V81" i="16"/>
  <c r="V87" i="16" s="1"/>
  <c r="V88" i="16" s="1"/>
  <c r="U81" i="16"/>
  <c r="T81" i="16"/>
  <c r="S81" i="16"/>
  <c r="R81" i="16"/>
  <c r="Q81" i="16"/>
  <c r="P81" i="16"/>
  <c r="O81" i="16"/>
  <c r="N81" i="16"/>
  <c r="N87" i="16" s="1"/>
  <c r="N88" i="16" s="1"/>
  <c r="M81" i="16"/>
  <c r="L81" i="16"/>
  <c r="K81" i="16"/>
  <c r="J81" i="16"/>
  <c r="I81" i="16"/>
  <c r="H81" i="16"/>
  <c r="G81" i="16"/>
  <c r="F81" i="16"/>
  <c r="E81" i="16"/>
  <c r="D81" i="16"/>
  <c r="D87" i="16" s="1"/>
  <c r="C81" i="16"/>
  <c r="AI78" i="16"/>
  <c r="AH78" i="16"/>
  <c r="AI76" i="16"/>
  <c r="AH76" i="16"/>
  <c r="AG76" i="16"/>
  <c r="AI75" i="16"/>
  <c r="AH75" i="16"/>
  <c r="AI74" i="16"/>
  <c r="AH74" i="16"/>
  <c r="AI73" i="16"/>
  <c r="AH73" i="16"/>
  <c r="AG72" i="16"/>
  <c r="AF72" i="16"/>
  <c r="AE5" i="16" s="1"/>
  <c r="AE72" i="16"/>
  <c r="AD5" i="16" s="1"/>
  <c r="AD72" i="16"/>
  <c r="AC72" i="16"/>
  <c r="AB72" i="16"/>
  <c r="AA72" i="16"/>
  <c r="Z72" i="16"/>
  <c r="Y72" i="16"/>
  <c r="X72" i="16"/>
  <c r="W72" i="16"/>
  <c r="V5" i="16" s="1"/>
  <c r="V72" i="16"/>
  <c r="U5" i="16" s="1"/>
  <c r="U72" i="16"/>
  <c r="T72" i="16"/>
  <c r="S5" i="16" s="1"/>
  <c r="R72" i="16"/>
  <c r="Q5" i="16" s="1"/>
  <c r="Q72" i="16"/>
  <c r="P5" i="16" s="1"/>
  <c r="P72" i="16"/>
  <c r="O5" i="16" s="1"/>
  <c r="O72" i="16"/>
  <c r="N5" i="16" s="1"/>
  <c r="N72" i="16"/>
  <c r="M72" i="16"/>
  <c r="L72" i="16"/>
  <c r="K72" i="16"/>
  <c r="J72" i="16"/>
  <c r="I72" i="16"/>
  <c r="H72" i="16"/>
  <c r="G72" i="16"/>
  <c r="F5" i="16" s="1"/>
  <c r="F72" i="16"/>
  <c r="E5" i="16" s="1"/>
  <c r="E72" i="16"/>
  <c r="D5" i="16" s="1"/>
  <c r="D72" i="16"/>
  <c r="C5" i="16" s="1"/>
  <c r="C72" i="16"/>
  <c r="B5" i="16" s="1"/>
  <c r="AI71" i="16"/>
  <c r="AH71" i="16"/>
  <c r="AI70" i="16"/>
  <c r="AH70" i="16"/>
  <c r="AI69" i="16"/>
  <c r="AH69" i="16"/>
  <c r="AI68" i="16"/>
  <c r="AH68" i="16"/>
  <c r="AI67" i="16"/>
  <c r="AH67" i="16"/>
  <c r="AI66" i="16"/>
  <c r="AH66" i="16"/>
  <c r="AI65" i="16"/>
  <c r="AH65" i="16"/>
  <c r="AI64" i="16"/>
  <c r="AH64" i="16"/>
  <c r="AI62" i="16"/>
  <c r="AH62" i="16"/>
  <c r="AI61" i="16"/>
  <c r="AH61" i="16"/>
  <c r="AG60" i="16"/>
  <c r="AG79" i="16" s="1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AI59" i="16"/>
  <c r="AH59" i="16"/>
  <c r="AI58" i="16"/>
  <c r="AH58" i="16"/>
  <c r="AI57" i="16"/>
  <c r="AH57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I55" i="16"/>
  <c r="AH55" i="16"/>
  <c r="AG55" i="16"/>
  <c r="AG56" i="16" s="1"/>
  <c r="AG3" i="16" s="1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G42" i="16"/>
  <c r="AF42" i="16"/>
  <c r="AE42" i="16"/>
  <c r="AD42" i="16"/>
  <c r="AC42" i="16"/>
  <c r="AB42" i="16"/>
  <c r="AA42" i="16"/>
  <c r="Z42" i="16"/>
  <c r="Y42" i="16"/>
  <c r="X42" i="16"/>
  <c r="W42" i="16"/>
  <c r="U42" i="16"/>
  <c r="T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AI41" i="16"/>
  <c r="AH41" i="16"/>
  <c r="AI40" i="16"/>
  <c r="AH40" i="16"/>
  <c r="AI39" i="16"/>
  <c r="AH39" i="16"/>
  <c r="AG38" i="16"/>
  <c r="AF38" i="16"/>
  <c r="AE38" i="16"/>
  <c r="AD38" i="16"/>
  <c r="AC38" i="16"/>
  <c r="AB38" i="16"/>
  <c r="AB77" i="16" s="1"/>
  <c r="AB79" i="16" s="1"/>
  <c r="AA38" i="16"/>
  <c r="Z38" i="16"/>
  <c r="Y38" i="16"/>
  <c r="X38" i="16"/>
  <c r="W38" i="16"/>
  <c r="T38" i="16"/>
  <c r="R38" i="16"/>
  <c r="Q38" i="16"/>
  <c r="P38" i="16"/>
  <c r="O38" i="16"/>
  <c r="N38" i="16"/>
  <c r="M38" i="16"/>
  <c r="L38" i="16"/>
  <c r="K38" i="16"/>
  <c r="J38" i="16"/>
  <c r="I38" i="16"/>
  <c r="I77" i="16" s="1"/>
  <c r="I79" i="16" s="1"/>
  <c r="H38" i="16"/>
  <c r="G38" i="16"/>
  <c r="F38" i="16"/>
  <c r="E38" i="16"/>
  <c r="D38" i="16"/>
  <c r="C38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C5" i="16"/>
  <c r="AB5" i="16"/>
  <c r="AA5" i="16"/>
  <c r="Z5" i="16"/>
  <c r="Y5" i="16"/>
  <c r="X5" i="16"/>
  <c r="W5" i="16"/>
  <c r="R5" i="16"/>
  <c r="M5" i="16"/>
  <c r="L5" i="16"/>
  <c r="K5" i="16"/>
  <c r="J5" i="16"/>
  <c r="I5" i="16"/>
  <c r="H5" i="16"/>
  <c r="G5" i="16"/>
  <c r="AG4" i="16"/>
  <c r="K4" i="16"/>
  <c r="B4" i="16"/>
  <c r="D232" i="16" s="1"/>
  <c r="AG2" i="16"/>
  <c r="AF37" i="15"/>
  <c r="AE100" i="15"/>
  <c r="AE99" i="15"/>
  <c r="AE37" i="15"/>
  <c r="AD37" i="15"/>
  <c r="AC37" i="15"/>
  <c r="AB100" i="15"/>
  <c r="AB99" i="15"/>
  <c r="AB37" i="15"/>
  <c r="Z100" i="15"/>
  <c r="Z37" i="15"/>
  <c r="Y100" i="15"/>
  <c r="Y37" i="15"/>
  <c r="X100" i="15"/>
  <c r="X37" i="15"/>
  <c r="W100" i="15"/>
  <c r="W37" i="15"/>
  <c r="V100" i="15"/>
  <c r="V37" i="15"/>
  <c r="U100" i="15"/>
  <c r="U37" i="15"/>
  <c r="T100" i="15"/>
  <c r="T37" i="15"/>
  <c r="S100" i="15"/>
  <c r="S37" i="15"/>
  <c r="R100" i="15"/>
  <c r="Q100" i="15"/>
  <c r="Q37" i="15"/>
  <c r="R37" i="15"/>
  <c r="P100" i="15"/>
  <c r="O100" i="15"/>
  <c r="P37" i="15"/>
  <c r="O37" i="15"/>
  <c r="N100" i="15"/>
  <c r="M100" i="15"/>
  <c r="E4" i="16"/>
  <c r="P98" i="20" l="1"/>
  <c r="AH98" i="20" s="1"/>
  <c r="P221" i="20"/>
  <c r="L221" i="19"/>
  <c r="M215" i="19"/>
  <c r="L98" i="19"/>
  <c r="O220" i="19"/>
  <c r="M256" i="19"/>
  <c r="K6" i="18"/>
  <c r="A7" i="18"/>
  <c r="F256" i="18"/>
  <c r="H220" i="18"/>
  <c r="G215" i="18"/>
  <c r="F98" i="18"/>
  <c r="F221" i="18"/>
  <c r="K6" i="17"/>
  <c r="K220" i="17"/>
  <c r="I256" i="17"/>
  <c r="I215" i="17"/>
  <c r="H98" i="17"/>
  <c r="H221" i="17"/>
  <c r="AF87" i="16"/>
  <c r="AF88" i="16" s="1"/>
  <c r="AF77" i="16"/>
  <c r="AF79" i="16" s="1"/>
  <c r="AF80" i="16" s="1"/>
  <c r="AE77" i="16"/>
  <c r="AE79" i="16" s="1"/>
  <c r="AE7" i="16" s="1"/>
  <c r="AD87" i="16"/>
  <c r="AD88" i="16" s="1"/>
  <c r="AD77" i="16"/>
  <c r="AD79" i="16" s="1"/>
  <c r="AC87" i="16"/>
  <c r="AC88" i="16" s="1"/>
  <c r="AC77" i="16"/>
  <c r="AC79" i="16" s="1"/>
  <c r="AB87" i="16"/>
  <c r="AB88" i="16" s="1"/>
  <c r="AA77" i="16"/>
  <c r="AA79" i="16" s="1"/>
  <c r="AA87" i="16"/>
  <c r="AA88" i="16" s="1"/>
  <c r="Z77" i="16"/>
  <c r="Z79" i="16" s="1"/>
  <c r="Z87" i="16"/>
  <c r="Z88" i="16" s="1"/>
  <c r="Y77" i="16"/>
  <c r="Y79" i="16" s="1"/>
  <c r="R88" i="16"/>
  <c r="R87" i="16"/>
  <c r="R77" i="16"/>
  <c r="R79" i="16" s="1"/>
  <c r="X77" i="16"/>
  <c r="X79" i="16" s="1"/>
  <c r="X88" i="16"/>
  <c r="W77" i="16"/>
  <c r="W79" i="16" s="1"/>
  <c r="V77" i="16"/>
  <c r="V79" i="16" s="1"/>
  <c r="U87" i="16"/>
  <c r="U88" i="16" s="1"/>
  <c r="T5" i="16"/>
  <c r="U77" i="16"/>
  <c r="U79" i="16" s="1"/>
  <c r="AH63" i="16"/>
  <c r="T87" i="16"/>
  <c r="T88" i="16" s="1"/>
  <c r="T77" i="16"/>
  <c r="T79" i="16" s="1"/>
  <c r="T80" i="16" s="1"/>
  <c r="S77" i="16"/>
  <c r="S79" i="16" s="1"/>
  <c r="S88" i="16"/>
  <c r="Q87" i="16"/>
  <c r="Q77" i="16"/>
  <c r="Q79" i="16" s="1"/>
  <c r="P87" i="16"/>
  <c r="P88" i="16"/>
  <c r="P77" i="16"/>
  <c r="P79" i="16" s="1"/>
  <c r="O87" i="16"/>
  <c r="O77" i="16"/>
  <c r="O79" i="16" s="1"/>
  <c r="N77" i="16"/>
  <c r="N79" i="16" s="1"/>
  <c r="AF235" i="16" s="1"/>
  <c r="AI83" i="16"/>
  <c r="M87" i="16"/>
  <c r="M88" i="16" s="1"/>
  <c r="M77" i="16"/>
  <c r="M79" i="16" s="1"/>
  <c r="M80" i="16" s="1"/>
  <c r="L87" i="16"/>
  <c r="AH84" i="16"/>
  <c r="H87" i="16"/>
  <c r="H77" i="16"/>
  <c r="H79" i="16" s="1"/>
  <c r="J77" i="16"/>
  <c r="J79" i="16" s="1"/>
  <c r="J80" i="16" s="1"/>
  <c r="G87" i="16"/>
  <c r="G77" i="16"/>
  <c r="G79" i="16" s="1"/>
  <c r="Y235" i="16" s="1"/>
  <c r="AH42" i="16"/>
  <c r="F77" i="16"/>
  <c r="F79" i="16" s="1"/>
  <c r="E77" i="16"/>
  <c r="E79" i="16" s="1"/>
  <c r="E87" i="16"/>
  <c r="E88" i="16" s="1"/>
  <c r="K87" i="16"/>
  <c r="H88" i="16"/>
  <c r="F87" i="16"/>
  <c r="F88" i="16" s="1"/>
  <c r="AH83" i="16"/>
  <c r="K88" i="16"/>
  <c r="I87" i="16"/>
  <c r="I80" i="16" s="1"/>
  <c r="AI82" i="16"/>
  <c r="L88" i="16"/>
  <c r="J87" i="16"/>
  <c r="J88" i="16" s="1"/>
  <c r="K77" i="16"/>
  <c r="K79" i="16" s="1"/>
  <c r="K80" i="16" s="1"/>
  <c r="L77" i="16"/>
  <c r="L79" i="16" s="1"/>
  <c r="L7" i="16" s="1"/>
  <c r="AI81" i="16"/>
  <c r="AI85" i="16"/>
  <c r="D88" i="16"/>
  <c r="AI60" i="16"/>
  <c r="D77" i="16"/>
  <c r="D79" i="16" s="1"/>
  <c r="D80" i="16" s="1"/>
  <c r="AI56" i="16"/>
  <c r="B77" i="16"/>
  <c r="B79" i="16" s="1"/>
  <c r="B80" i="16" s="1"/>
  <c r="C87" i="16"/>
  <c r="C88" i="16" s="1"/>
  <c r="C77" i="16"/>
  <c r="C79" i="16" s="1"/>
  <c r="S232" i="16"/>
  <c r="H4" i="16"/>
  <c r="AN235" i="16"/>
  <c r="V7" i="16"/>
  <c r="V80" i="16"/>
  <c r="AV235" i="16"/>
  <c r="AD7" i="16"/>
  <c r="AD80" i="16"/>
  <c r="P80" i="16"/>
  <c r="AH235" i="16"/>
  <c r="P7" i="16"/>
  <c r="X80" i="16"/>
  <c r="AP235" i="16"/>
  <c r="X7" i="16"/>
  <c r="AX235" i="16"/>
  <c r="AO235" i="16"/>
  <c r="W7" i="16"/>
  <c r="W80" i="16"/>
  <c r="H80" i="16"/>
  <c r="Z235" i="16"/>
  <c r="H7" i="16"/>
  <c r="AA235" i="16"/>
  <c r="I7" i="16"/>
  <c r="Q80" i="16"/>
  <c r="Q7" i="16"/>
  <c r="AI235" i="16"/>
  <c r="AQ235" i="16"/>
  <c r="Y7" i="16"/>
  <c r="Y80" i="16"/>
  <c r="AG77" i="16"/>
  <c r="AW235" i="16"/>
  <c r="R80" i="16"/>
  <c r="AJ235" i="16"/>
  <c r="R7" i="16"/>
  <c r="Z80" i="16"/>
  <c r="AR235" i="16"/>
  <c r="Z7" i="16"/>
  <c r="G7" i="16"/>
  <c r="G80" i="16"/>
  <c r="C80" i="16"/>
  <c r="U235" i="16"/>
  <c r="C7" i="16"/>
  <c r="AA80" i="16"/>
  <c r="AS235" i="16"/>
  <c r="AA7" i="16"/>
  <c r="AB80" i="16"/>
  <c r="AT235" i="16"/>
  <c r="AB7" i="16"/>
  <c r="AG235" i="16"/>
  <c r="O7" i="16"/>
  <c r="AG6" i="16"/>
  <c r="W235" i="16"/>
  <c r="E7" i="16"/>
  <c r="E80" i="16"/>
  <c r="AM235" i="16"/>
  <c r="U7" i="16"/>
  <c r="U80" i="16"/>
  <c r="AU235" i="16"/>
  <c r="AC7" i="16"/>
  <c r="AC80" i="16"/>
  <c r="Q88" i="16"/>
  <c r="Y88" i="16"/>
  <c r="AI38" i="16"/>
  <c r="AI42" i="16"/>
  <c r="AI84" i="16"/>
  <c r="AH85" i="16"/>
  <c r="G88" i="16"/>
  <c r="W88" i="16"/>
  <c r="AE88" i="16"/>
  <c r="F220" i="16"/>
  <c r="E215" i="16"/>
  <c r="AH56" i="16"/>
  <c r="AH60" i="16"/>
  <c r="AH72" i="16"/>
  <c r="AH81" i="16"/>
  <c r="AI72" i="16"/>
  <c r="AH82" i="16"/>
  <c r="AH38" i="16"/>
  <c r="AF260" i="15"/>
  <c r="AE260" i="15"/>
  <c r="AD260" i="15"/>
  <c r="AC260" i="15"/>
  <c r="AB260" i="15"/>
  <c r="AA260" i="15"/>
  <c r="Z260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AF259" i="15"/>
  <c r="AE259" i="15"/>
  <c r="AD259" i="15"/>
  <c r="AC259" i="15"/>
  <c r="AB259" i="15"/>
  <c r="AA259" i="15"/>
  <c r="Z259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AF258" i="15"/>
  <c r="AE258" i="15"/>
  <c r="AD258" i="15"/>
  <c r="AC258" i="15"/>
  <c r="AB258" i="15"/>
  <c r="AA258" i="15"/>
  <c r="Z258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AF257" i="15"/>
  <c r="AE257" i="15"/>
  <c r="AD257" i="15"/>
  <c r="AC257" i="15"/>
  <c r="AB257" i="15"/>
  <c r="AA257" i="15"/>
  <c r="Z257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AE256" i="15"/>
  <c r="AD256" i="15"/>
  <c r="AC256" i="15"/>
  <c r="AB256" i="15"/>
  <c r="AA256" i="15"/>
  <c r="Z256" i="15"/>
  <c r="Y256" i="15"/>
  <c r="X256" i="15"/>
  <c r="W256" i="15"/>
  <c r="V256" i="15"/>
  <c r="U256" i="15"/>
  <c r="T256" i="15"/>
  <c r="S256" i="15"/>
  <c r="R256" i="15"/>
  <c r="Q256" i="15"/>
  <c r="P256" i="15"/>
  <c r="B256" i="15"/>
  <c r="S231" i="15"/>
  <c r="AG221" i="15"/>
  <c r="AF221" i="15"/>
  <c r="AE221" i="15"/>
  <c r="AD221" i="15"/>
  <c r="AC221" i="15"/>
  <c r="AB221" i="15"/>
  <c r="AA221" i="15"/>
  <c r="Z221" i="15"/>
  <c r="Y221" i="15"/>
  <c r="X221" i="15"/>
  <c r="W221" i="15"/>
  <c r="V221" i="15"/>
  <c r="U221" i="15"/>
  <c r="T221" i="15"/>
  <c r="S221" i="15"/>
  <c r="R221" i="15"/>
  <c r="Q221" i="15"/>
  <c r="C221" i="15"/>
  <c r="D220" i="15"/>
  <c r="C256" i="15" s="1"/>
  <c r="B220" i="15"/>
  <c r="AF256" i="15" s="1"/>
  <c r="D219" i="15"/>
  <c r="E219" i="15" s="1"/>
  <c r="F219" i="15" s="1"/>
  <c r="G219" i="15" s="1"/>
  <c r="H219" i="15" s="1"/>
  <c r="I219" i="15" s="1"/>
  <c r="J219" i="15" s="1"/>
  <c r="K219" i="15" s="1"/>
  <c r="L219" i="15" s="1"/>
  <c r="M219" i="15" s="1"/>
  <c r="N219" i="15" s="1"/>
  <c r="O219" i="15" s="1"/>
  <c r="P219" i="15" s="1"/>
  <c r="B219" i="15"/>
  <c r="E218" i="15"/>
  <c r="F218" i="15" s="1"/>
  <c r="G218" i="15" s="1"/>
  <c r="H218" i="15" s="1"/>
  <c r="I218" i="15" s="1"/>
  <c r="J218" i="15" s="1"/>
  <c r="K218" i="15" s="1"/>
  <c r="L218" i="15" s="1"/>
  <c r="M218" i="15" s="1"/>
  <c r="N218" i="15" s="1"/>
  <c r="O218" i="15" s="1"/>
  <c r="P218" i="15" s="1"/>
  <c r="D218" i="15"/>
  <c r="B218" i="15"/>
  <c r="D217" i="15"/>
  <c r="E217" i="15" s="1"/>
  <c r="F217" i="15" s="1"/>
  <c r="G217" i="15" s="1"/>
  <c r="H217" i="15" s="1"/>
  <c r="I217" i="15" s="1"/>
  <c r="J217" i="15" s="1"/>
  <c r="K217" i="15" s="1"/>
  <c r="L217" i="15" s="1"/>
  <c r="M217" i="15" s="1"/>
  <c r="N217" i="15" s="1"/>
  <c r="O217" i="15" s="1"/>
  <c r="P217" i="15" s="1"/>
  <c r="B217" i="15"/>
  <c r="E216" i="15"/>
  <c r="F216" i="15" s="1"/>
  <c r="G216" i="15" s="1"/>
  <c r="H216" i="15" s="1"/>
  <c r="I216" i="15" s="1"/>
  <c r="J216" i="15" s="1"/>
  <c r="K216" i="15" s="1"/>
  <c r="L216" i="15" s="1"/>
  <c r="M216" i="15" s="1"/>
  <c r="N216" i="15" s="1"/>
  <c r="O216" i="15" s="1"/>
  <c r="P216" i="15" s="1"/>
  <c r="D216" i="15"/>
  <c r="B216" i="15"/>
  <c r="D215" i="15"/>
  <c r="E215" i="15" s="1"/>
  <c r="B215" i="15"/>
  <c r="AG213" i="15"/>
  <c r="AF213" i="15"/>
  <c r="AE213" i="15"/>
  <c r="AD213" i="15"/>
  <c r="AC213" i="15"/>
  <c r="AB213" i="15"/>
  <c r="AA213" i="15"/>
  <c r="Z213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H106" i="15"/>
  <c r="AI106" i="15" s="1"/>
  <c r="AH105" i="15"/>
  <c r="AI105" i="15" s="1"/>
  <c r="AH104" i="15"/>
  <c r="AI104" i="15" s="1"/>
  <c r="AH103" i="15"/>
  <c r="AI103" i="15" s="1"/>
  <c r="AH102" i="15"/>
  <c r="AI102" i="15" s="1"/>
  <c r="AH101" i="15"/>
  <c r="AI101" i="15" s="1"/>
  <c r="AH100" i="15"/>
  <c r="AI100" i="15" s="1"/>
  <c r="AH99" i="15"/>
  <c r="AI99" i="15" s="1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C98" i="15"/>
  <c r="B98" i="15"/>
  <c r="AI97" i="15"/>
  <c r="AH97" i="15"/>
  <c r="AI96" i="15"/>
  <c r="AH96" i="15"/>
  <c r="AI95" i="15"/>
  <c r="AH95" i="15"/>
  <c r="AI94" i="15"/>
  <c r="AH94" i="15"/>
  <c r="AI93" i="15"/>
  <c r="AH93" i="15"/>
  <c r="AI92" i="15"/>
  <c r="AH92" i="15"/>
  <c r="AI91" i="15"/>
  <c r="AH91" i="15"/>
  <c r="AI90" i="15"/>
  <c r="AH90" i="15"/>
  <c r="AI89" i="15"/>
  <c r="AH89" i="15"/>
  <c r="AI86" i="15"/>
  <c r="AH86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F81" i="15"/>
  <c r="AE81" i="15"/>
  <c r="AD81" i="15"/>
  <c r="AC81" i="15"/>
  <c r="AB81" i="15"/>
  <c r="AA81" i="15"/>
  <c r="Z81" i="15"/>
  <c r="Y81" i="15"/>
  <c r="X81" i="15"/>
  <c r="W81" i="15"/>
  <c r="W87" i="15" s="1"/>
  <c r="V81" i="15"/>
  <c r="U81" i="15"/>
  <c r="T81" i="15"/>
  <c r="S81" i="15"/>
  <c r="R81" i="15"/>
  <c r="Q81" i="15"/>
  <c r="P81" i="15"/>
  <c r="O81" i="15"/>
  <c r="N81" i="15"/>
  <c r="M81" i="15"/>
  <c r="L81" i="15"/>
  <c r="K81" i="15"/>
  <c r="K87" i="15" s="1"/>
  <c r="J81" i="15"/>
  <c r="I81" i="15"/>
  <c r="H81" i="15"/>
  <c r="G81" i="15"/>
  <c r="F81" i="15"/>
  <c r="E81" i="15"/>
  <c r="D81" i="15"/>
  <c r="D87" i="15" s="1"/>
  <c r="C81" i="15"/>
  <c r="B81" i="15"/>
  <c r="AI78" i="15"/>
  <c r="AH78" i="15"/>
  <c r="AI76" i="15"/>
  <c r="AH76" i="15"/>
  <c r="AG76" i="15"/>
  <c r="AG79" i="15" s="1"/>
  <c r="AI75" i="15"/>
  <c r="AH75" i="15"/>
  <c r="AI74" i="15"/>
  <c r="AH74" i="15"/>
  <c r="AI73" i="15"/>
  <c r="AH73" i="15"/>
  <c r="AG72" i="15"/>
  <c r="AF72" i="15"/>
  <c r="AE5" i="15" s="1"/>
  <c r="AE72" i="15"/>
  <c r="AD5" i="15" s="1"/>
  <c r="AD72" i="15"/>
  <c r="AC5" i="15" s="1"/>
  <c r="AC72" i="15"/>
  <c r="AB5" i="15" s="1"/>
  <c r="AB72" i="15"/>
  <c r="AA72" i="15"/>
  <c r="Z72" i="15"/>
  <c r="Y5" i="15" s="1"/>
  <c r="Y72" i="15"/>
  <c r="X5" i="15" s="1"/>
  <c r="X72" i="15"/>
  <c r="W5" i="15" s="1"/>
  <c r="W72" i="15"/>
  <c r="V5" i="15" s="1"/>
  <c r="V72" i="15"/>
  <c r="U5" i="15" s="1"/>
  <c r="U72" i="15"/>
  <c r="T5" i="15" s="1"/>
  <c r="T72" i="15"/>
  <c r="S5" i="15" s="1"/>
  <c r="S72" i="15"/>
  <c r="R5" i="15" s="1"/>
  <c r="R72" i="15"/>
  <c r="Q72" i="15"/>
  <c r="P72" i="15"/>
  <c r="O72" i="15"/>
  <c r="N72" i="15"/>
  <c r="M5" i="15" s="1"/>
  <c r="M72" i="15"/>
  <c r="L5" i="15" s="1"/>
  <c r="L72" i="15"/>
  <c r="K5" i="15" s="1"/>
  <c r="K72" i="15"/>
  <c r="J72" i="15"/>
  <c r="I5" i="15" s="1"/>
  <c r="I72" i="15"/>
  <c r="H5" i="15" s="1"/>
  <c r="H72" i="15"/>
  <c r="G5" i="15" s="1"/>
  <c r="G72" i="15"/>
  <c r="F72" i="15"/>
  <c r="E5" i="15" s="1"/>
  <c r="E72" i="15"/>
  <c r="D5" i="15" s="1"/>
  <c r="D72" i="15"/>
  <c r="C5" i="15" s="1"/>
  <c r="C72" i="15"/>
  <c r="B5" i="15" s="1"/>
  <c r="B72" i="15"/>
  <c r="AF5" i="15" s="1"/>
  <c r="AI71" i="15"/>
  <c r="AH71" i="15"/>
  <c r="AI70" i="15"/>
  <c r="AH70" i="15"/>
  <c r="AI69" i="15"/>
  <c r="AH69" i="15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I59" i="15"/>
  <c r="AH59" i="15"/>
  <c r="AI58" i="15"/>
  <c r="AH58" i="15"/>
  <c r="AI57" i="15"/>
  <c r="AH57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I55" i="15"/>
  <c r="AH55" i="15"/>
  <c r="AG55" i="15"/>
  <c r="AG56" i="15" s="1"/>
  <c r="AG3" i="15" s="1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I41" i="15"/>
  <c r="AH41" i="15"/>
  <c r="AI40" i="15"/>
  <c r="AH40" i="15"/>
  <c r="AI39" i="15"/>
  <c r="AH39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A5" i="15"/>
  <c r="Z5" i="15"/>
  <c r="Q5" i="15"/>
  <c r="P5" i="15"/>
  <c r="N5" i="15"/>
  <c r="AG4" i="15"/>
  <c r="K4" i="15"/>
  <c r="B4" i="15"/>
  <c r="S232" i="15" s="1"/>
  <c r="AG2" i="15"/>
  <c r="AB38" i="14"/>
  <c r="AB42" i="14"/>
  <c r="AB98" i="14"/>
  <c r="Z37" i="14"/>
  <c r="Y100" i="14"/>
  <c r="Y37" i="14"/>
  <c r="X100" i="14"/>
  <c r="X37" i="14"/>
  <c r="W37" i="14"/>
  <c r="V37" i="14"/>
  <c r="U37" i="14"/>
  <c r="T100" i="14"/>
  <c r="T37" i="14"/>
  <c r="S100" i="14"/>
  <c r="S37" i="14"/>
  <c r="R100" i="14"/>
  <c r="R99" i="14"/>
  <c r="R37" i="14"/>
  <c r="Q100" i="14"/>
  <c r="Q99" i="14"/>
  <c r="Q37" i="14"/>
  <c r="E4" i="15"/>
  <c r="AI98" i="20" l="1"/>
  <c r="N256" i="19"/>
  <c r="P220" i="19"/>
  <c r="O256" i="19" s="1"/>
  <c r="M221" i="19"/>
  <c r="M98" i="19"/>
  <c r="N215" i="19"/>
  <c r="H215" i="18"/>
  <c r="G98" i="18"/>
  <c r="G221" i="18"/>
  <c r="G256" i="18"/>
  <c r="I220" i="18"/>
  <c r="AF7" i="16"/>
  <c r="AE80" i="16"/>
  <c r="I98" i="17"/>
  <c r="I221" i="17"/>
  <c r="J215" i="17"/>
  <c r="J256" i="17"/>
  <c r="L220" i="17"/>
  <c r="T7" i="16"/>
  <c r="AL235" i="16"/>
  <c r="S80" i="16"/>
  <c r="AK235" i="16"/>
  <c r="S7" i="16"/>
  <c r="N80" i="16"/>
  <c r="N7" i="16"/>
  <c r="M7" i="16"/>
  <c r="AE235" i="16"/>
  <c r="O80" i="16"/>
  <c r="O88" i="16"/>
  <c r="AD235" i="16"/>
  <c r="L80" i="16"/>
  <c r="B230" i="16"/>
  <c r="K7" i="16"/>
  <c r="AC235" i="16"/>
  <c r="C230" i="16"/>
  <c r="K6" i="16" s="1"/>
  <c r="J7" i="16"/>
  <c r="AB235" i="16"/>
  <c r="I88" i="16"/>
  <c r="F80" i="16"/>
  <c r="F7" i="16"/>
  <c r="X235" i="16"/>
  <c r="V235" i="16"/>
  <c r="D7" i="16"/>
  <c r="AI77" i="16"/>
  <c r="AH77" i="16"/>
  <c r="AI87" i="16"/>
  <c r="AH87" i="16"/>
  <c r="F215" i="16"/>
  <c r="E98" i="16"/>
  <c r="E221" i="16"/>
  <c r="AH80" i="16"/>
  <c r="AI79" i="16"/>
  <c r="AH79" i="16"/>
  <c r="T235" i="16"/>
  <c r="B7" i="16"/>
  <c r="E256" i="16"/>
  <c r="G220" i="16"/>
  <c r="AE87" i="15"/>
  <c r="AE77" i="15"/>
  <c r="AE79" i="15" s="1"/>
  <c r="AC87" i="15"/>
  <c r="AC77" i="15"/>
  <c r="AC79" i="15" s="1"/>
  <c r="AB87" i="15"/>
  <c r="AB77" i="15"/>
  <c r="AB79" i="15" s="1"/>
  <c r="AA87" i="15"/>
  <c r="AA88" i="15"/>
  <c r="Z87" i="15"/>
  <c r="Z88" i="15" s="1"/>
  <c r="Z77" i="15"/>
  <c r="Z79" i="15" s="1"/>
  <c r="Z80" i="15" s="1"/>
  <c r="Y77" i="15"/>
  <c r="Y79" i="15" s="1"/>
  <c r="W77" i="15"/>
  <c r="W79" i="15" s="1"/>
  <c r="U87" i="15"/>
  <c r="U77" i="15"/>
  <c r="U79" i="15" s="1"/>
  <c r="AM235" i="15" s="1"/>
  <c r="T87" i="15"/>
  <c r="T77" i="15"/>
  <c r="T79" i="15" s="1"/>
  <c r="T80" i="15" s="1"/>
  <c r="S87" i="15"/>
  <c r="S88" i="15" s="1"/>
  <c r="R87" i="15"/>
  <c r="R88" i="15"/>
  <c r="R77" i="15"/>
  <c r="R79" i="15" s="1"/>
  <c r="Q77" i="15"/>
  <c r="Q79" i="15" s="1"/>
  <c r="O87" i="15"/>
  <c r="O77" i="15"/>
  <c r="O79" i="15" s="1"/>
  <c r="M87" i="15"/>
  <c r="M77" i="15"/>
  <c r="M79" i="15" s="1"/>
  <c r="AE235" i="15" s="1"/>
  <c r="L87" i="15"/>
  <c r="L77" i="15"/>
  <c r="L79" i="15" s="1"/>
  <c r="K88" i="15"/>
  <c r="J5" i="15"/>
  <c r="O5" i="15"/>
  <c r="K77" i="15"/>
  <c r="K79" i="15" s="1"/>
  <c r="AC235" i="15" s="1"/>
  <c r="S77" i="15"/>
  <c r="S79" i="15" s="1"/>
  <c r="AK235" i="15" s="1"/>
  <c r="AA77" i="15"/>
  <c r="AA79" i="15" s="1"/>
  <c r="AS235" i="15" s="1"/>
  <c r="O88" i="15"/>
  <c r="W88" i="15"/>
  <c r="AE88" i="15"/>
  <c r="N87" i="15"/>
  <c r="N88" i="15" s="1"/>
  <c r="V87" i="15"/>
  <c r="V88" i="15" s="1"/>
  <c r="AD87" i="15"/>
  <c r="AD88" i="15" s="1"/>
  <c r="D98" i="15"/>
  <c r="E220" i="15"/>
  <c r="D256" i="15" s="1"/>
  <c r="N77" i="15"/>
  <c r="N79" i="15" s="1"/>
  <c r="AF235" i="15" s="1"/>
  <c r="V77" i="15"/>
  <c r="V79" i="15" s="1"/>
  <c r="V7" i="15" s="1"/>
  <c r="AD77" i="15"/>
  <c r="AD79" i="15" s="1"/>
  <c r="AD7" i="15" s="1"/>
  <c r="B221" i="15"/>
  <c r="P87" i="15"/>
  <c r="P88" i="15" s="1"/>
  <c r="X87" i="15"/>
  <c r="AF87" i="15"/>
  <c r="AF88" i="15" s="1"/>
  <c r="P77" i="15"/>
  <c r="P79" i="15" s="1"/>
  <c r="AH235" i="15" s="1"/>
  <c r="X77" i="15"/>
  <c r="X79" i="15" s="1"/>
  <c r="X7" i="15" s="1"/>
  <c r="AF77" i="15"/>
  <c r="AF79" i="15" s="1"/>
  <c r="AX235" i="15" s="1"/>
  <c r="I87" i="15"/>
  <c r="Q87" i="15"/>
  <c r="Q88" i="15" s="1"/>
  <c r="Y87" i="15"/>
  <c r="Y88" i="15" s="1"/>
  <c r="X88" i="15"/>
  <c r="D221" i="15"/>
  <c r="AG6" i="15"/>
  <c r="J87" i="15"/>
  <c r="J88" i="15" s="1"/>
  <c r="J77" i="15"/>
  <c r="J79" i="15" s="1"/>
  <c r="I88" i="15"/>
  <c r="I77" i="15"/>
  <c r="I79" i="15" s="1"/>
  <c r="H77" i="15"/>
  <c r="H79" i="15" s="1"/>
  <c r="H7" i="15" s="1"/>
  <c r="H87" i="15"/>
  <c r="H88" i="15" s="1"/>
  <c r="G87" i="15"/>
  <c r="G88" i="15" s="1"/>
  <c r="F5" i="15"/>
  <c r="G77" i="15"/>
  <c r="G79" i="15" s="1"/>
  <c r="Y235" i="15" s="1"/>
  <c r="F87" i="15"/>
  <c r="AI85" i="15"/>
  <c r="F77" i="15"/>
  <c r="F79" i="15" s="1"/>
  <c r="X235" i="15" s="1"/>
  <c r="E87" i="15"/>
  <c r="E88" i="15" s="1"/>
  <c r="AH84" i="15"/>
  <c r="E77" i="15"/>
  <c r="E79" i="15" s="1"/>
  <c r="E7" i="15" s="1"/>
  <c r="D77" i="15"/>
  <c r="D79" i="15" s="1"/>
  <c r="D80" i="15" s="1"/>
  <c r="AI83" i="15"/>
  <c r="AI82" i="15"/>
  <c r="AI81" i="15"/>
  <c r="C87" i="15"/>
  <c r="C88" i="15" s="1"/>
  <c r="AI60" i="15"/>
  <c r="AI56" i="15"/>
  <c r="C77" i="15"/>
  <c r="C79" i="15" s="1"/>
  <c r="C7" i="15" s="1"/>
  <c r="AH42" i="15"/>
  <c r="B77" i="15"/>
  <c r="H4" i="15"/>
  <c r="D7" i="15"/>
  <c r="L80" i="15"/>
  <c r="AD235" i="15"/>
  <c r="L7" i="15"/>
  <c r="AB80" i="15"/>
  <c r="AT235" i="15"/>
  <c r="AB7" i="15"/>
  <c r="AA80" i="15"/>
  <c r="W235" i="15"/>
  <c r="AU235" i="15"/>
  <c r="AC7" i="15"/>
  <c r="AC80" i="15"/>
  <c r="F80" i="15"/>
  <c r="AG235" i="15"/>
  <c r="O7" i="15"/>
  <c r="O80" i="15"/>
  <c r="AO235" i="15"/>
  <c r="W7" i="15"/>
  <c r="W80" i="15"/>
  <c r="AW235" i="15"/>
  <c r="AE7" i="15"/>
  <c r="AE80" i="15"/>
  <c r="D88" i="15"/>
  <c r="L88" i="15"/>
  <c r="T88" i="15"/>
  <c r="AB88" i="15"/>
  <c r="F215" i="15"/>
  <c r="E98" i="15"/>
  <c r="E221" i="15"/>
  <c r="I80" i="15"/>
  <c r="AA235" i="15"/>
  <c r="I7" i="15"/>
  <c r="Q80" i="15"/>
  <c r="AI235" i="15"/>
  <c r="Q7" i="15"/>
  <c r="AQ235" i="15"/>
  <c r="Y7" i="15"/>
  <c r="AG77" i="15"/>
  <c r="M88" i="15"/>
  <c r="U88" i="15"/>
  <c r="AC88" i="15"/>
  <c r="Z235" i="15"/>
  <c r="B79" i="15"/>
  <c r="J80" i="15"/>
  <c r="AB235" i="15"/>
  <c r="J7" i="15"/>
  <c r="R80" i="15"/>
  <c r="AJ235" i="15"/>
  <c r="R7" i="15"/>
  <c r="F88" i="15"/>
  <c r="AI38" i="15"/>
  <c r="AI42" i="15"/>
  <c r="AI84" i="15"/>
  <c r="AH85" i="15"/>
  <c r="D232" i="15"/>
  <c r="F220" i="15"/>
  <c r="AH56" i="15"/>
  <c r="AH60" i="15"/>
  <c r="AH72" i="15"/>
  <c r="AH81" i="15"/>
  <c r="B87" i="15"/>
  <c r="B88" i="15" s="1"/>
  <c r="AI72" i="15"/>
  <c r="AH82" i="15"/>
  <c r="AH83" i="15"/>
  <c r="AH38" i="15"/>
  <c r="P100" i="14"/>
  <c r="P37" i="14"/>
  <c r="O100" i="14"/>
  <c r="O37" i="14"/>
  <c r="N100" i="14"/>
  <c r="N37" i="14"/>
  <c r="M100" i="14"/>
  <c r="M37" i="14"/>
  <c r="AI37" i="14" s="1"/>
  <c r="L37" i="14"/>
  <c r="K37" i="14"/>
  <c r="J37" i="14"/>
  <c r="H37" i="14"/>
  <c r="G37" i="14"/>
  <c r="F37" i="14"/>
  <c r="AK12" i="14"/>
  <c r="E37" i="14"/>
  <c r="B98" i="14"/>
  <c r="B85" i="14"/>
  <c r="B84" i="14"/>
  <c r="B83" i="14"/>
  <c r="B82" i="14"/>
  <c r="B81" i="14"/>
  <c r="B72" i="14"/>
  <c r="AF5" i="14" s="1"/>
  <c r="B60" i="14"/>
  <c r="B56" i="14"/>
  <c r="B42" i="14"/>
  <c r="B38" i="14"/>
  <c r="B37" i="14"/>
  <c r="AH11" i="14"/>
  <c r="AI11" i="14"/>
  <c r="AF260" i="14"/>
  <c r="AE260" i="14"/>
  <c r="AD260" i="14"/>
  <c r="AC260" i="14"/>
  <c r="AB260" i="14"/>
  <c r="AA260" i="14"/>
  <c r="Z260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A260" i="14"/>
  <c r="AF259" i="14"/>
  <c r="AE259" i="14"/>
  <c r="AD259" i="14"/>
  <c r="AC259" i="14"/>
  <c r="AB259" i="14"/>
  <c r="AA259" i="14"/>
  <c r="Z259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A259" i="14"/>
  <c r="AF258" i="14"/>
  <c r="AE258" i="14"/>
  <c r="AD258" i="14"/>
  <c r="AC258" i="14"/>
  <c r="AB258" i="14"/>
  <c r="AA258" i="14"/>
  <c r="Z258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A258" i="14"/>
  <c r="AF257" i="14"/>
  <c r="AE257" i="14"/>
  <c r="AD257" i="14"/>
  <c r="AC257" i="14"/>
  <c r="AB257" i="14"/>
  <c r="AA257" i="14"/>
  <c r="Z257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A257" i="14"/>
  <c r="AE256" i="14"/>
  <c r="AD256" i="14"/>
  <c r="AC256" i="14"/>
  <c r="AB256" i="14"/>
  <c r="AA256" i="14"/>
  <c r="Z256" i="14"/>
  <c r="Y256" i="14"/>
  <c r="X256" i="14"/>
  <c r="W256" i="14"/>
  <c r="V256" i="14"/>
  <c r="U256" i="14"/>
  <c r="T256" i="14"/>
  <c r="S256" i="14"/>
  <c r="R256" i="14"/>
  <c r="Q256" i="14"/>
  <c r="P256" i="14"/>
  <c r="B256" i="14"/>
  <c r="S231" i="14"/>
  <c r="AG221" i="14"/>
  <c r="AF221" i="14"/>
  <c r="AE221" i="14"/>
  <c r="AD221" i="14"/>
  <c r="AC221" i="14"/>
  <c r="AB221" i="14"/>
  <c r="AA221" i="14"/>
  <c r="Z221" i="14"/>
  <c r="Y221" i="14"/>
  <c r="X221" i="14"/>
  <c r="W221" i="14"/>
  <c r="V221" i="14"/>
  <c r="U221" i="14"/>
  <c r="T221" i="14"/>
  <c r="S221" i="14"/>
  <c r="R221" i="14"/>
  <c r="Q221" i="14"/>
  <c r="D221" i="14"/>
  <c r="C221" i="14"/>
  <c r="E220" i="14"/>
  <c r="D256" i="14" s="1"/>
  <c r="D220" i="14"/>
  <c r="C256" i="14" s="1"/>
  <c r="B220" i="14"/>
  <c r="AF256" i="14" s="1"/>
  <c r="E219" i="14"/>
  <c r="F219" i="14" s="1"/>
  <c r="G219" i="14" s="1"/>
  <c r="H219" i="14" s="1"/>
  <c r="I219" i="14" s="1"/>
  <c r="J219" i="14" s="1"/>
  <c r="K219" i="14" s="1"/>
  <c r="L219" i="14" s="1"/>
  <c r="M219" i="14" s="1"/>
  <c r="N219" i="14" s="1"/>
  <c r="O219" i="14" s="1"/>
  <c r="P219" i="14" s="1"/>
  <c r="D219" i="14"/>
  <c r="B219" i="14"/>
  <c r="E218" i="14"/>
  <c r="F218" i="14" s="1"/>
  <c r="G218" i="14" s="1"/>
  <c r="H218" i="14" s="1"/>
  <c r="I218" i="14" s="1"/>
  <c r="J218" i="14" s="1"/>
  <c r="K218" i="14" s="1"/>
  <c r="L218" i="14" s="1"/>
  <c r="M218" i="14" s="1"/>
  <c r="N218" i="14" s="1"/>
  <c r="O218" i="14" s="1"/>
  <c r="P218" i="14" s="1"/>
  <c r="D218" i="14"/>
  <c r="B218" i="14"/>
  <c r="E217" i="14"/>
  <c r="F217" i="14" s="1"/>
  <c r="G217" i="14" s="1"/>
  <c r="H217" i="14" s="1"/>
  <c r="I217" i="14" s="1"/>
  <c r="J217" i="14" s="1"/>
  <c r="K217" i="14" s="1"/>
  <c r="L217" i="14" s="1"/>
  <c r="M217" i="14" s="1"/>
  <c r="N217" i="14" s="1"/>
  <c r="O217" i="14" s="1"/>
  <c r="P217" i="14" s="1"/>
  <c r="D217" i="14"/>
  <c r="B217" i="14"/>
  <c r="E216" i="14"/>
  <c r="F216" i="14" s="1"/>
  <c r="G216" i="14" s="1"/>
  <c r="H216" i="14" s="1"/>
  <c r="I216" i="14" s="1"/>
  <c r="J216" i="14" s="1"/>
  <c r="K216" i="14" s="1"/>
  <c r="L216" i="14" s="1"/>
  <c r="M216" i="14" s="1"/>
  <c r="N216" i="14" s="1"/>
  <c r="O216" i="14" s="1"/>
  <c r="P216" i="14" s="1"/>
  <c r="D216" i="14"/>
  <c r="B216" i="14"/>
  <c r="E215" i="14"/>
  <c r="F215" i="14" s="1"/>
  <c r="D215" i="14"/>
  <c r="B215" i="14"/>
  <c r="B221" i="14" s="1"/>
  <c r="AG213" i="14"/>
  <c r="AF213" i="14"/>
  <c r="AE213" i="14"/>
  <c r="AD213" i="14"/>
  <c r="AC213" i="14"/>
  <c r="AB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AH106" i="14"/>
  <c r="AI106" i="14" s="1"/>
  <c r="AH105" i="14"/>
  <c r="AI105" i="14" s="1"/>
  <c r="AH104" i="14"/>
  <c r="AI104" i="14" s="1"/>
  <c r="AH103" i="14"/>
  <c r="AI103" i="14" s="1"/>
  <c r="AH102" i="14"/>
  <c r="AI102" i="14" s="1"/>
  <c r="AH101" i="14"/>
  <c r="AI101" i="14" s="1"/>
  <c r="AH100" i="14"/>
  <c r="AI100" i="14" s="1"/>
  <c r="AH99" i="14"/>
  <c r="AI99" i="14" s="1"/>
  <c r="AF98" i="14"/>
  <c r="AE98" i="14"/>
  <c r="AD98" i="14"/>
  <c r="AC98" i="14"/>
  <c r="AA98" i="14"/>
  <c r="Z98" i="14"/>
  <c r="Y98" i="14"/>
  <c r="X98" i="14"/>
  <c r="W98" i="14"/>
  <c r="V98" i="14"/>
  <c r="U98" i="14"/>
  <c r="T98" i="14"/>
  <c r="S98" i="14"/>
  <c r="R98" i="14"/>
  <c r="Q98" i="14"/>
  <c r="E98" i="14"/>
  <c r="D98" i="14"/>
  <c r="C98" i="14"/>
  <c r="AI97" i="14"/>
  <c r="AH97" i="14"/>
  <c r="AI96" i="14"/>
  <c r="AH96" i="14"/>
  <c r="AI95" i="14"/>
  <c r="AH95" i="14"/>
  <c r="AI94" i="14"/>
  <c r="AH94" i="14"/>
  <c r="AI93" i="14"/>
  <c r="AH93" i="14"/>
  <c r="AI92" i="14"/>
  <c r="AH92" i="14"/>
  <c r="AI91" i="14"/>
  <c r="AH91" i="14"/>
  <c r="AI90" i="14"/>
  <c r="AH90" i="14"/>
  <c r="AI89" i="14"/>
  <c r="AH89" i="14"/>
  <c r="AI86" i="14"/>
  <c r="AH86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I87" i="14" s="1"/>
  <c r="H84" i="14"/>
  <c r="G84" i="14"/>
  <c r="F84" i="14"/>
  <c r="E84" i="14"/>
  <c r="D84" i="14"/>
  <c r="C84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AF82" i="14"/>
  <c r="AE82" i="14"/>
  <c r="AE87" i="14" s="1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AF81" i="14"/>
  <c r="AE81" i="14"/>
  <c r="AD81" i="14"/>
  <c r="AD87" i="14" s="1"/>
  <c r="AC81" i="14"/>
  <c r="AB81" i="14"/>
  <c r="AA81" i="14"/>
  <c r="Z81" i="14"/>
  <c r="Z87" i="14" s="1"/>
  <c r="Y81" i="14"/>
  <c r="X81" i="14"/>
  <c r="W81" i="14"/>
  <c r="V81" i="14"/>
  <c r="U81" i="14"/>
  <c r="T81" i="14"/>
  <c r="T87" i="14" s="1"/>
  <c r="T88" i="14" s="1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AI78" i="14"/>
  <c r="AH78" i="14"/>
  <c r="AI76" i="14"/>
  <c r="AH76" i="14"/>
  <c r="AG76" i="14"/>
  <c r="AI75" i="14"/>
  <c r="AH75" i="14"/>
  <c r="AI74" i="14"/>
  <c r="AH74" i="14"/>
  <c r="AI73" i="14"/>
  <c r="AH73" i="14"/>
  <c r="AG72" i="14"/>
  <c r="AF72" i="14"/>
  <c r="AE5" i="14" s="1"/>
  <c r="AE72" i="14"/>
  <c r="AE88" i="14" s="1"/>
  <c r="AD72" i="14"/>
  <c r="AC5" i="14" s="1"/>
  <c r="AC72" i="14"/>
  <c r="AB5" i="14" s="1"/>
  <c r="AB72" i="14"/>
  <c r="AA5" i="14" s="1"/>
  <c r="AA72" i="14"/>
  <c r="Z5" i="14" s="1"/>
  <c r="Z72" i="14"/>
  <c r="Y72" i="14"/>
  <c r="X5" i="14" s="1"/>
  <c r="X72" i="14"/>
  <c r="W5" i="14" s="1"/>
  <c r="W72" i="14"/>
  <c r="V5" i="14" s="1"/>
  <c r="V72" i="14"/>
  <c r="U5" i="14" s="1"/>
  <c r="U72" i="14"/>
  <c r="T5" i="14" s="1"/>
  <c r="T72" i="14"/>
  <c r="S5" i="14" s="1"/>
  <c r="S72" i="14"/>
  <c r="R5" i="14" s="1"/>
  <c r="R72" i="14"/>
  <c r="Q72" i="14"/>
  <c r="P5" i="14" s="1"/>
  <c r="P72" i="14"/>
  <c r="O5" i="14" s="1"/>
  <c r="O72" i="14"/>
  <c r="N5" i="14" s="1"/>
  <c r="N72" i="14"/>
  <c r="M5" i="14" s="1"/>
  <c r="M72" i="14"/>
  <c r="L72" i="14"/>
  <c r="K5" i="14" s="1"/>
  <c r="K72" i="14"/>
  <c r="J72" i="14"/>
  <c r="I72" i="14"/>
  <c r="H5" i="14" s="1"/>
  <c r="H72" i="14"/>
  <c r="G5" i="14" s="1"/>
  <c r="G72" i="14"/>
  <c r="F72" i="14"/>
  <c r="E5" i="14" s="1"/>
  <c r="E72" i="14"/>
  <c r="D5" i="14" s="1"/>
  <c r="D72" i="14"/>
  <c r="C5" i="14" s="1"/>
  <c r="C72" i="14"/>
  <c r="AI71" i="14"/>
  <c r="AH71" i="14"/>
  <c r="AI70" i="14"/>
  <c r="AH70" i="14"/>
  <c r="AI69" i="14"/>
  <c r="AH69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AI59" i="14"/>
  <c r="AH59" i="14"/>
  <c r="AI58" i="14"/>
  <c r="AH58" i="14"/>
  <c r="AI57" i="14"/>
  <c r="AH57" i="14"/>
  <c r="AF56" i="14"/>
  <c r="AE56" i="14"/>
  <c r="AD56" i="14"/>
  <c r="AC56" i="14"/>
  <c r="AB56" i="14"/>
  <c r="AB77" i="14" s="1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AI55" i="14"/>
  <c r="AH55" i="14"/>
  <c r="AG55" i="14"/>
  <c r="AG56" i="14" s="1"/>
  <c r="AG3" i="14" s="1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G42" i="14"/>
  <c r="AF42" i="14"/>
  <c r="AE42" i="14"/>
  <c r="AD42" i="14"/>
  <c r="AC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I41" i="14"/>
  <c r="AH41" i="14"/>
  <c r="AI40" i="14"/>
  <c r="AH40" i="14"/>
  <c r="AI39" i="14"/>
  <c r="AH39" i="14"/>
  <c r="AG38" i="14"/>
  <c r="AG77" i="14" s="1"/>
  <c r="AF38" i="14"/>
  <c r="AE38" i="14"/>
  <c r="AD38" i="14"/>
  <c r="AC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L5" i="14"/>
  <c r="AG4" i="14"/>
  <c r="K4" i="14"/>
  <c r="B4" i="14"/>
  <c r="S232" i="14" s="1"/>
  <c r="AG2" i="14"/>
  <c r="AG6" i="14" s="1"/>
  <c r="AF37" i="13"/>
  <c r="AE37" i="13"/>
  <c r="AD37" i="13"/>
  <c r="AC37" i="13"/>
  <c r="AB37" i="13"/>
  <c r="Y99" i="13"/>
  <c r="X99" i="13"/>
  <c r="W99" i="13"/>
  <c r="E4" i="14"/>
  <c r="O215" i="19" l="1"/>
  <c r="N221" i="19"/>
  <c r="N98" i="19"/>
  <c r="H256" i="18"/>
  <c r="J220" i="18"/>
  <c r="I215" i="18"/>
  <c r="H98" i="18"/>
  <c r="H221" i="18"/>
  <c r="K256" i="17"/>
  <c r="M220" i="17"/>
  <c r="K215" i="17"/>
  <c r="J98" i="17"/>
  <c r="J221" i="17"/>
  <c r="A7" i="16"/>
  <c r="F256" i="16"/>
  <c r="H220" i="16"/>
  <c r="G215" i="16"/>
  <c r="F98" i="16"/>
  <c r="F221" i="16"/>
  <c r="AI88" i="16"/>
  <c r="AH88" i="16"/>
  <c r="AF7" i="15"/>
  <c r="AD80" i="15"/>
  <c r="AV235" i="15"/>
  <c r="AA7" i="15"/>
  <c r="H80" i="15"/>
  <c r="G7" i="15"/>
  <c r="V235" i="15"/>
  <c r="M80" i="15"/>
  <c r="T7" i="15"/>
  <c r="AL235" i="15"/>
  <c r="Z7" i="15"/>
  <c r="AR235" i="15"/>
  <c r="AP235" i="15"/>
  <c r="Y80" i="15"/>
  <c r="X80" i="15"/>
  <c r="AN235" i="15"/>
  <c r="V80" i="15"/>
  <c r="U80" i="15"/>
  <c r="U7" i="15"/>
  <c r="S80" i="15"/>
  <c r="S7" i="15"/>
  <c r="P80" i="15"/>
  <c r="M7" i="15"/>
  <c r="N80" i="15"/>
  <c r="N7" i="15"/>
  <c r="K80" i="15"/>
  <c r="K7" i="15"/>
  <c r="AF80" i="15"/>
  <c r="P7" i="15"/>
  <c r="F7" i="15"/>
  <c r="G80" i="15"/>
  <c r="C230" i="15"/>
  <c r="B230" i="15"/>
  <c r="E80" i="15"/>
  <c r="U235" i="15"/>
  <c r="AI77" i="15"/>
  <c r="AH77" i="15"/>
  <c r="C80" i="15"/>
  <c r="AI88" i="15"/>
  <c r="AH88" i="15"/>
  <c r="AI87" i="15"/>
  <c r="AH87" i="15"/>
  <c r="B80" i="15"/>
  <c r="AI79" i="15"/>
  <c r="AH79" i="15"/>
  <c r="T235" i="15"/>
  <c r="B7" i="15"/>
  <c r="G215" i="15"/>
  <c r="F98" i="15"/>
  <c r="F221" i="15"/>
  <c r="E256" i="15"/>
  <c r="G220" i="15"/>
  <c r="AF87" i="14"/>
  <c r="AF88" i="14" s="1"/>
  <c r="AF77" i="14"/>
  <c r="AF79" i="14" s="1"/>
  <c r="AD5" i="14"/>
  <c r="AE77" i="14"/>
  <c r="AE79" i="14" s="1"/>
  <c r="AD77" i="14"/>
  <c r="AD79" i="14" s="1"/>
  <c r="AC87" i="14"/>
  <c r="AC77" i="14"/>
  <c r="AC79" i="14" s="1"/>
  <c r="AB87" i="14"/>
  <c r="AB88" i="14" s="1"/>
  <c r="AB79" i="14"/>
  <c r="AA87" i="14"/>
  <c r="AA88" i="14" s="1"/>
  <c r="AA77" i="14"/>
  <c r="AA79" i="14" s="1"/>
  <c r="Z88" i="14"/>
  <c r="Y5" i="14"/>
  <c r="Z77" i="14"/>
  <c r="Z79" i="14" s="1"/>
  <c r="Y87" i="14"/>
  <c r="Y88" i="14"/>
  <c r="Y77" i="14"/>
  <c r="Y79" i="14" s="1"/>
  <c r="Y80" i="14" s="1"/>
  <c r="X87" i="14"/>
  <c r="X77" i="14"/>
  <c r="X79" i="14" s="1"/>
  <c r="X88" i="14"/>
  <c r="W87" i="14"/>
  <c r="W88" i="14" s="1"/>
  <c r="W77" i="14"/>
  <c r="W79" i="14" s="1"/>
  <c r="V87" i="14"/>
  <c r="V77" i="14"/>
  <c r="V79" i="14" s="1"/>
  <c r="U87" i="14"/>
  <c r="U77" i="14"/>
  <c r="U79" i="14" s="1"/>
  <c r="T77" i="14"/>
  <c r="T79" i="14" s="1"/>
  <c r="S87" i="14"/>
  <c r="S88" i="14" s="1"/>
  <c r="S77" i="14"/>
  <c r="S79" i="14" s="1"/>
  <c r="R87" i="14"/>
  <c r="R88" i="14"/>
  <c r="Q5" i="14"/>
  <c r="R77" i="14"/>
  <c r="R79" i="14" s="1"/>
  <c r="Q87" i="14"/>
  <c r="Q88" i="14" s="1"/>
  <c r="Q77" i="14"/>
  <c r="Q79" i="14" s="1"/>
  <c r="P87" i="14"/>
  <c r="P77" i="14"/>
  <c r="P79" i="14" s="1"/>
  <c r="O87" i="14"/>
  <c r="O88" i="14" s="1"/>
  <c r="O77" i="14"/>
  <c r="O79" i="14" s="1"/>
  <c r="AI85" i="14"/>
  <c r="N87" i="14"/>
  <c r="N77" i="14"/>
  <c r="N79" i="14" s="1"/>
  <c r="M87" i="14"/>
  <c r="M77" i="14"/>
  <c r="M79" i="14" s="1"/>
  <c r="L87" i="14"/>
  <c r="L88" i="14"/>
  <c r="AI60" i="14"/>
  <c r="L77" i="14"/>
  <c r="L79" i="14" s="1"/>
  <c r="L80" i="14" s="1"/>
  <c r="K87" i="14"/>
  <c r="K88" i="14" s="1"/>
  <c r="J5" i="14"/>
  <c r="K77" i="14"/>
  <c r="K79" i="14" s="1"/>
  <c r="K80" i="14" s="1"/>
  <c r="AI83" i="14"/>
  <c r="J87" i="14"/>
  <c r="J88" i="14" s="1"/>
  <c r="I5" i="14"/>
  <c r="J77" i="14"/>
  <c r="J79" i="14" s="1"/>
  <c r="J7" i="14" s="1"/>
  <c r="I77" i="14"/>
  <c r="I79" i="14" s="1"/>
  <c r="AA235" i="14" s="1"/>
  <c r="H77" i="14"/>
  <c r="H79" i="14" s="1"/>
  <c r="AI81" i="14"/>
  <c r="H87" i="14"/>
  <c r="G87" i="14"/>
  <c r="G88" i="14" s="1"/>
  <c r="AI82" i="14"/>
  <c r="F5" i="14"/>
  <c r="G77" i="14"/>
  <c r="G79" i="14" s="1"/>
  <c r="AH42" i="14"/>
  <c r="F87" i="14"/>
  <c r="F77" i="14"/>
  <c r="F79" i="14" s="1"/>
  <c r="X235" i="14" s="1"/>
  <c r="E87" i="14"/>
  <c r="E77" i="14"/>
  <c r="E79" i="14" s="1"/>
  <c r="E80" i="14" s="1"/>
  <c r="D87" i="14"/>
  <c r="D77" i="14"/>
  <c r="D79" i="14" s="1"/>
  <c r="AI56" i="14"/>
  <c r="C87" i="14"/>
  <c r="C88" i="14"/>
  <c r="AI84" i="14"/>
  <c r="B5" i="14"/>
  <c r="C77" i="14"/>
  <c r="C79" i="14" s="1"/>
  <c r="C7" i="14" s="1"/>
  <c r="B87" i="14"/>
  <c r="AH84" i="14"/>
  <c r="B77" i="14"/>
  <c r="B79" i="14" s="1"/>
  <c r="B80" i="14" s="1"/>
  <c r="B88" i="14"/>
  <c r="H4" i="14"/>
  <c r="AB235" i="14"/>
  <c r="R80" i="14"/>
  <c r="AJ235" i="14"/>
  <c r="R7" i="14"/>
  <c r="Z80" i="14"/>
  <c r="AR235" i="14"/>
  <c r="Z7" i="14"/>
  <c r="F88" i="14"/>
  <c r="N88" i="14"/>
  <c r="V88" i="14"/>
  <c r="AD88" i="14"/>
  <c r="D80" i="14"/>
  <c r="V235" i="14"/>
  <c r="D7" i="14"/>
  <c r="T80" i="14"/>
  <c r="AL235" i="14"/>
  <c r="T7" i="14"/>
  <c r="AB80" i="14"/>
  <c r="AT235" i="14"/>
  <c r="AB7" i="14"/>
  <c r="H88" i="14"/>
  <c r="P88" i="14"/>
  <c r="AG79" i="14"/>
  <c r="AA80" i="14"/>
  <c r="AA7" i="14"/>
  <c r="AS235" i="14"/>
  <c r="W235" i="14"/>
  <c r="AE235" i="14"/>
  <c r="M7" i="14"/>
  <c r="M80" i="14"/>
  <c r="AM235" i="14"/>
  <c r="U7" i="14"/>
  <c r="U80" i="14"/>
  <c r="AU235" i="14"/>
  <c r="AC7" i="14"/>
  <c r="AC80" i="14"/>
  <c r="G215" i="14"/>
  <c r="C80" i="14"/>
  <c r="AF235" i="14"/>
  <c r="N7" i="14"/>
  <c r="N80" i="14"/>
  <c r="AN235" i="14"/>
  <c r="V7" i="14"/>
  <c r="V80" i="14"/>
  <c r="AV235" i="14"/>
  <c r="AD7" i="14"/>
  <c r="AD80" i="14"/>
  <c r="S80" i="14"/>
  <c r="S7" i="14"/>
  <c r="AK235" i="14"/>
  <c r="AG235" i="14"/>
  <c r="O80" i="14"/>
  <c r="O7" i="14"/>
  <c r="AO235" i="14"/>
  <c r="W7" i="14"/>
  <c r="W80" i="14"/>
  <c r="AW235" i="14"/>
  <c r="AE7" i="14"/>
  <c r="AE80" i="14"/>
  <c r="H80" i="14"/>
  <c r="Z235" i="14"/>
  <c r="H7" i="14"/>
  <c r="P80" i="14"/>
  <c r="AH235" i="14"/>
  <c r="P7" i="14"/>
  <c r="X80" i="14"/>
  <c r="AP235" i="14"/>
  <c r="X7" i="14"/>
  <c r="AF80" i="14"/>
  <c r="AX235" i="14"/>
  <c r="AF7" i="14"/>
  <c r="D88" i="14"/>
  <c r="Q80" i="14"/>
  <c r="Q7" i="14"/>
  <c r="AI235" i="14"/>
  <c r="Y7" i="14"/>
  <c r="E88" i="14"/>
  <c r="M88" i="14"/>
  <c r="U88" i="14"/>
  <c r="AC88" i="14"/>
  <c r="AI38" i="14"/>
  <c r="AI42" i="14"/>
  <c r="AH85" i="14"/>
  <c r="E221" i="14"/>
  <c r="D232" i="14"/>
  <c r="F220" i="14"/>
  <c r="AH56" i="14"/>
  <c r="AH60" i="14"/>
  <c r="AH72" i="14"/>
  <c r="AH81" i="14"/>
  <c r="I88" i="14"/>
  <c r="AI72" i="14"/>
  <c r="AH82" i="14"/>
  <c r="AH83" i="14"/>
  <c r="AH38" i="14"/>
  <c r="P215" i="19" l="1"/>
  <c r="O98" i="19"/>
  <c r="O221" i="19"/>
  <c r="I98" i="18"/>
  <c r="I221" i="18"/>
  <c r="J215" i="18"/>
  <c r="K220" i="18"/>
  <c r="I256" i="18"/>
  <c r="K221" i="17"/>
  <c r="L215" i="17"/>
  <c r="K98" i="17"/>
  <c r="L256" i="17"/>
  <c r="N220" i="17"/>
  <c r="H215" i="16"/>
  <c r="G98" i="16"/>
  <c r="G221" i="16"/>
  <c r="G256" i="16"/>
  <c r="I220" i="16"/>
  <c r="A7" i="15"/>
  <c r="K6" i="15"/>
  <c r="AH80" i="15"/>
  <c r="H215" i="15"/>
  <c r="G98" i="15"/>
  <c r="G221" i="15"/>
  <c r="F256" i="15"/>
  <c r="H220" i="15"/>
  <c r="AQ235" i="14"/>
  <c r="I80" i="14"/>
  <c r="L7" i="14"/>
  <c r="AD235" i="14"/>
  <c r="K7" i="14"/>
  <c r="AC235" i="14"/>
  <c r="J80" i="14"/>
  <c r="I7" i="14"/>
  <c r="C230" i="14"/>
  <c r="F7" i="14"/>
  <c r="F80" i="14"/>
  <c r="G7" i="14"/>
  <c r="Y235" i="14"/>
  <c r="G80" i="14"/>
  <c r="AH80" i="14" s="1"/>
  <c r="B230" i="14"/>
  <c r="E7" i="14"/>
  <c r="U235" i="14"/>
  <c r="AI77" i="14"/>
  <c r="AH77" i="14"/>
  <c r="H215" i="14"/>
  <c r="AI87" i="14"/>
  <c r="AH87" i="14"/>
  <c r="E256" i="14"/>
  <c r="G220" i="14"/>
  <c r="AI79" i="14"/>
  <c r="AH79" i="14"/>
  <c r="T235" i="14"/>
  <c r="B7" i="14"/>
  <c r="F221" i="14"/>
  <c r="F98" i="14"/>
  <c r="P98" i="19" l="1"/>
  <c r="P221" i="19"/>
  <c r="J256" i="18"/>
  <c r="L220" i="18"/>
  <c r="J221" i="18"/>
  <c r="K215" i="18"/>
  <c r="J98" i="18"/>
  <c r="M256" i="17"/>
  <c r="O220" i="17"/>
  <c r="L221" i="17"/>
  <c r="M215" i="17"/>
  <c r="L98" i="17"/>
  <c r="H256" i="16"/>
  <c r="J220" i="16"/>
  <c r="I215" i="16"/>
  <c r="H98" i="16"/>
  <c r="H221" i="16"/>
  <c r="G256" i="15"/>
  <c r="I220" i="15"/>
  <c r="I215" i="15"/>
  <c r="H98" i="15"/>
  <c r="H221" i="15"/>
  <c r="A7" i="14"/>
  <c r="K6" i="14"/>
  <c r="F256" i="14"/>
  <c r="H220" i="14"/>
  <c r="AI88" i="14"/>
  <c r="AH88" i="14"/>
  <c r="G221" i="14"/>
  <c r="G98" i="14"/>
  <c r="I215" i="14"/>
  <c r="H98" i="14"/>
  <c r="H221" i="14"/>
  <c r="AH98" i="19" l="1"/>
  <c r="AI98" i="19"/>
  <c r="K221" i="18"/>
  <c r="L215" i="18"/>
  <c r="K98" i="18"/>
  <c r="K256" i="18"/>
  <c r="M220" i="18"/>
  <c r="N215" i="17"/>
  <c r="M98" i="17"/>
  <c r="M221" i="17"/>
  <c r="N256" i="17"/>
  <c r="P220" i="17"/>
  <c r="O256" i="17" s="1"/>
  <c r="I98" i="16"/>
  <c r="I221" i="16"/>
  <c r="J215" i="16"/>
  <c r="K220" i="16"/>
  <c r="I256" i="16"/>
  <c r="I98" i="15"/>
  <c r="I221" i="15"/>
  <c r="J215" i="15"/>
  <c r="H256" i="15"/>
  <c r="J220" i="15"/>
  <c r="G256" i="14"/>
  <c r="I220" i="14"/>
  <c r="I98" i="14"/>
  <c r="I221" i="14"/>
  <c r="J215" i="14"/>
  <c r="L256" i="18" l="1"/>
  <c r="N220" i="18"/>
  <c r="L221" i="18"/>
  <c r="M215" i="18"/>
  <c r="L98" i="18"/>
  <c r="N98" i="17"/>
  <c r="N221" i="17"/>
  <c r="O215" i="17"/>
  <c r="J256" i="16"/>
  <c r="L220" i="16"/>
  <c r="J221" i="16"/>
  <c r="K215" i="16"/>
  <c r="J98" i="16"/>
  <c r="K220" i="15"/>
  <c r="I256" i="15"/>
  <c r="J221" i="15"/>
  <c r="K215" i="15"/>
  <c r="J98" i="15"/>
  <c r="K215" i="14"/>
  <c r="H256" i="14"/>
  <c r="J220" i="14"/>
  <c r="J221" i="14" s="1"/>
  <c r="M256" i="18" l="1"/>
  <c r="O220" i="18"/>
  <c r="N215" i="18"/>
  <c r="M98" i="18"/>
  <c r="M221" i="18"/>
  <c r="P215" i="17"/>
  <c r="O221" i="17"/>
  <c r="O98" i="17"/>
  <c r="K221" i="16"/>
  <c r="L215" i="16"/>
  <c r="K98" i="16"/>
  <c r="M220" i="16"/>
  <c r="K256" i="16"/>
  <c r="K221" i="15"/>
  <c r="L215" i="15"/>
  <c r="K98" i="15"/>
  <c r="J256" i="15"/>
  <c r="L220" i="15"/>
  <c r="J98" i="14"/>
  <c r="L215" i="14"/>
  <c r="K98" i="14"/>
  <c r="K220" i="14"/>
  <c r="I256" i="14"/>
  <c r="O215" i="18" l="1"/>
  <c r="N98" i="18"/>
  <c r="N221" i="18"/>
  <c r="N256" i="18"/>
  <c r="P220" i="18"/>
  <c r="O256" i="18" s="1"/>
  <c r="P98" i="17"/>
  <c r="P221" i="17"/>
  <c r="L256" i="16"/>
  <c r="N220" i="16"/>
  <c r="L221" i="16"/>
  <c r="M215" i="16"/>
  <c r="L98" i="16"/>
  <c r="K256" i="15"/>
  <c r="M220" i="15"/>
  <c r="L221" i="15"/>
  <c r="M215" i="15"/>
  <c r="L98" i="15"/>
  <c r="J256" i="14"/>
  <c r="L220" i="14"/>
  <c r="K221" i="14"/>
  <c r="L221" i="14"/>
  <c r="M215" i="14"/>
  <c r="L98" i="14"/>
  <c r="P215" i="18" l="1"/>
  <c r="O98" i="18"/>
  <c r="O221" i="18"/>
  <c r="AH98" i="17"/>
  <c r="AI98" i="17"/>
  <c r="N215" i="16"/>
  <c r="M98" i="16"/>
  <c r="M221" i="16"/>
  <c r="M256" i="16"/>
  <c r="O220" i="16"/>
  <c r="N215" i="15"/>
  <c r="M98" i="15"/>
  <c r="M221" i="15"/>
  <c r="L256" i="15"/>
  <c r="N220" i="15"/>
  <c r="N215" i="14"/>
  <c r="K256" i="14"/>
  <c r="M220" i="14"/>
  <c r="P98" i="18" l="1"/>
  <c r="P221" i="18"/>
  <c r="N256" i="16"/>
  <c r="P220" i="16"/>
  <c r="O256" i="16" s="1"/>
  <c r="N221" i="16"/>
  <c r="O215" i="16"/>
  <c r="N98" i="16"/>
  <c r="M256" i="15"/>
  <c r="O220" i="15"/>
  <c r="O215" i="15"/>
  <c r="N98" i="15"/>
  <c r="N221" i="15"/>
  <c r="L256" i="14"/>
  <c r="N220" i="14"/>
  <c r="M98" i="14"/>
  <c r="M221" i="14"/>
  <c r="O215" i="14"/>
  <c r="N98" i="14"/>
  <c r="N221" i="14"/>
  <c r="AI98" i="18" l="1"/>
  <c r="AH98" i="18"/>
  <c r="P215" i="16"/>
  <c r="O98" i="16"/>
  <c r="O221" i="16"/>
  <c r="P215" i="15"/>
  <c r="O98" i="15"/>
  <c r="O221" i="15"/>
  <c r="N256" i="15"/>
  <c r="P220" i="15"/>
  <c r="O256" i="15" s="1"/>
  <c r="M256" i="14"/>
  <c r="O220" i="14"/>
  <c r="P215" i="14"/>
  <c r="O98" i="14"/>
  <c r="O221" i="14"/>
  <c r="P98" i="16" l="1"/>
  <c r="P221" i="16"/>
  <c r="P98" i="15"/>
  <c r="P221" i="15"/>
  <c r="N256" i="14"/>
  <c r="P220" i="14"/>
  <c r="O256" i="14" s="1"/>
  <c r="P98" i="14"/>
  <c r="P221" i="14"/>
  <c r="AI98" i="16" l="1"/>
  <c r="AH98" i="16"/>
  <c r="AH98" i="15"/>
  <c r="AI98" i="15"/>
  <c r="AH98" i="14"/>
  <c r="AI98" i="14"/>
  <c r="T37" i="13" l="1"/>
  <c r="S37" i="13"/>
  <c r="R37" i="13"/>
  <c r="Q37" i="13" l="1"/>
  <c r="P37" i="13"/>
  <c r="O37" i="13"/>
  <c r="N37" i="13"/>
  <c r="M37" i="13"/>
  <c r="D100" i="13"/>
  <c r="C100" i="13"/>
  <c r="B100" i="13"/>
  <c r="AF260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AF259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A259" i="13"/>
  <c r="AF258" i="13"/>
  <c r="AE258" i="13"/>
  <c r="AD258" i="13"/>
  <c r="AC258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A258" i="13"/>
  <c r="AF257" i="13"/>
  <c r="AE257" i="13"/>
  <c r="AD257" i="13"/>
  <c r="AC257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A257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S256" i="13"/>
  <c r="R256" i="13"/>
  <c r="Q256" i="13"/>
  <c r="P256" i="13"/>
  <c r="D256" i="13"/>
  <c r="C256" i="13"/>
  <c r="B256" i="13"/>
  <c r="S231" i="13"/>
  <c r="AG221" i="13"/>
  <c r="AF221" i="13"/>
  <c r="AE221" i="13"/>
  <c r="AD221" i="13"/>
  <c r="AC221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C221" i="13"/>
  <c r="G220" i="13"/>
  <c r="F220" i="13"/>
  <c r="E256" i="13" s="1"/>
  <c r="D220" i="13"/>
  <c r="E220" i="13" s="1"/>
  <c r="B220" i="13"/>
  <c r="AF256" i="13" s="1"/>
  <c r="D219" i="13"/>
  <c r="E219" i="13" s="1"/>
  <c r="F219" i="13" s="1"/>
  <c r="G219" i="13" s="1"/>
  <c r="H219" i="13" s="1"/>
  <c r="I219" i="13" s="1"/>
  <c r="J219" i="13" s="1"/>
  <c r="K219" i="13" s="1"/>
  <c r="L219" i="13" s="1"/>
  <c r="M219" i="13" s="1"/>
  <c r="N219" i="13" s="1"/>
  <c r="O219" i="13" s="1"/>
  <c r="P219" i="13" s="1"/>
  <c r="B219" i="13"/>
  <c r="D218" i="13"/>
  <c r="E218" i="13" s="1"/>
  <c r="F218" i="13" s="1"/>
  <c r="G218" i="13" s="1"/>
  <c r="H218" i="13" s="1"/>
  <c r="I218" i="13" s="1"/>
  <c r="J218" i="13" s="1"/>
  <c r="K218" i="13" s="1"/>
  <c r="L218" i="13" s="1"/>
  <c r="M218" i="13" s="1"/>
  <c r="N218" i="13" s="1"/>
  <c r="O218" i="13" s="1"/>
  <c r="P218" i="13" s="1"/>
  <c r="B218" i="13"/>
  <c r="F217" i="13"/>
  <c r="G217" i="13" s="1"/>
  <c r="H217" i="13" s="1"/>
  <c r="I217" i="13" s="1"/>
  <c r="J217" i="13" s="1"/>
  <c r="K217" i="13" s="1"/>
  <c r="L217" i="13" s="1"/>
  <c r="M217" i="13" s="1"/>
  <c r="N217" i="13" s="1"/>
  <c r="O217" i="13" s="1"/>
  <c r="P217" i="13" s="1"/>
  <c r="E217" i="13"/>
  <c r="D217" i="13"/>
  <c r="B217" i="13"/>
  <c r="D216" i="13"/>
  <c r="E216" i="13" s="1"/>
  <c r="F216" i="13" s="1"/>
  <c r="G216" i="13" s="1"/>
  <c r="H216" i="13" s="1"/>
  <c r="I216" i="13" s="1"/>
  <c r="J216" i="13" s="1"/>
  <c r="K216" i="13" s="1"/>
  <c r="L216" i="13" s="1"/>
  <c r="M216" i="13" s="1"/>
  <c r="N216" i="13" s="1"/>
  <c r="O216" i="13" s="1"/>
  <c r="P216" i="13" s="1"/>
  <c r="B216" i="13"/>
  <c r="D215" i="13"/>
  <c r="B215" i="13"/>
  <c r="B221" i="13" s="1"/>
  <c r="AG213" i="13"/>
  <c r="AF213" i="13"/>
  <c r="AE213" i="13"/>
  <c r="AD213" i="13"/>
  <c r="AC213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AH106" i="13"/>
  <c r="AI106" i="13" s="1"/>
  <c r="AH105" i="13"/>
  <c r="AI105" i="13" s="1"/>
  <c r="AH104" i="13"/>
  <c r="AI104" i="13" s="1"/>
  <c r="AH103" i="13"/>
  <c r="AI103" i="13" s="1"/>
  <c r="AH102" i="13"/>
  <c r="AI102" i="13" s="1"/>
  <c r="AH101" i="13"/>
  <c r="AI101" i="13" s="1"/>
  <c r="AH100" i="13"/>
  <c r="AI100" i="13" s="1"/>
  <c r="AH99" i="13"/>
  <c r="AI99" i="13" s="1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D98" i="13"/>
  <c r="C98" i="13"/>
  <c r="B98" i="13"/>
  <c r="AI97" i="13"/>
  <c r="AH97" i="13"/>
  <c r="AI96" i="13"/>
  <c r="AH96" i="13"/>
  <c r="AI95" i="13"/>
  <c r="AH95" i="13"/>
  <c r="AI94" i="13"/>
  <c r="AH94" i="13"/>
  <c r="AI93" i="13"/>
  <c r="AH93" i="13"/>
  <c r="AI92" i="13"/>
  <c r="AH92" i="13"/>
  <c r="AI91" i="13"/>
  <c r="AH91" i="13"/>
  <c r="AI90" i="13"/>
  <c r="AH90" i="13"/>
  <c r="AI89" i="13"/>
  <c r="AH89" i="13"/>
  <c r="Y87" i="13"/>
  <c r="AI86" i="13"/>
  <c r="AH86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Q87" i="13" s="1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F84" i="13"/>
  <c r="AE84" i="13"/>
  <c r="AD84" i="13"/>
  <c r="AC84" i="13"/>
  <c r="AB84" i="13"/>
  <c r="AA84" i="13"/>
  <c r="Z84" i="13"/>
  <c r="Z87" i="13" s="1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AI78" i="13"/>
  <c r="AH78" i="13"/>
  <c r="AI76" i="13"/>
  <c r="AH76" i="13"/>
  <c r="AG76" i="13"/>
  <c r="AG79" i="13" s="1"/>
  <c r="AI75" i="13"/>
  <c r="AH75" i="13"/>
  <c r="AI74" i="13"/>
  <c r="AH74" i="13"/>
  <c r="AI73" i="13"/>
  <c r="AH73" i="13"/>
  <c r="AG72" i="13"/>
  <c r="AF72" i="13"/>
  <c r="AE5" i="13" s="1"/>
  <c r="AE72" i="13"/>
  <c r="AD5" i="13" s="1"/>
  <c r="AD72" i="13"/>
  <c r="AC5" i="13" s="1"/>
  <c r="AC72" i="13"/>
  <c r="AB5" i="13" s="1"/>
  <c r="AB72" i="13"/>
  <c r="AA5" i="13" s="1"/>
  <c r="AA72" i="13"/>
  <c r="Z5" i="13" s="1"/>
  <c r="Z72" i="13"/>
  <c r="Y72" i="13"/>
  <c r="X72" i="13"/>
  <c r="W5" i="13" s="1"/>
  <c r="W72" i="13"/>
  <c r="V5" i="13" s="1"/>
  <c r="V72" i="13"/>
  <c r="U5" i="13" s="1"/>
  <c r="U72" i="13"/>
  <c r="T5" i="13" s="1"/>
  <c r="T72" i="13"/>
  <c r="S5" i="13" s="1"/>
  <c r="S72" i="13"/>
  <c r="R5" i="13" s="1"/>
  <c r="R72" i="13"/>
  <c r="Q72" i="13"/>
  <c r="P72" i="13"/>
  <c r="O5" i="13" s="1"/>
  <c r="O72" i="13"/>
  <c r="N5" i="13" s="1"/>
  <c r="N72" i="13"/>
  <c r="M5" i="13" s="1"/>
  <c r="M72" i="13"/>
  <c r="L5" i="13" s="1"/>
  <c r="L72" i="13"/>
  <c r="K5" i="13" s="1"/>
  <c r="K72" i="13"/>
  <c r="J5" i="13" s="1"/>
  <c r="J72" i="13"/>
  <c r="I72" i="13"/>
  <c r="H72" i="13"/>
  <c r="G5" i="13" s="1"/>
  <c r="G72" i="13"/>
  <c r="F5" i="13" s="1"/>
  <c r="F72" i="13"/>
  <c r="E5" i="13" s="1"/>
  <c r="E72" i="13"/>
  <c r="D5" i="13" s="1"/>
  <c r="D72" i="13"/>
  <c r="C5" i="13" s="1"/>
  <c r="C72" i="13"/>
  <c r="B5" i="13" s="1"/>
  <c r="B72" i="13"/>
  <c r="AI71" i="13"/>
  <c r="AH71" i="13"/>
  <c r="AI70" i="13"/>
  <c r="AH70" i="13"/>
  <c r="AI69" i="13"/>
  <c r="AH69" i="13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G60" i="13"/>
  <c r="AG4" i="13" s="1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I59" i="13"/>
  <c r="AH59" i="13"/>
  <c r="AI58" i="13"/>
  <c r="AH58" i="13"/>
  <c r="AI57" i="13"/>
  <c r="AH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G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I41" i="13"/>
  <c r="AH41" i="13"/>
  <c r="AI40" i="13"/>
  <c r="AH40" i="13"/>
  <c r="AI39" i="13"/>
  <c r="AH39" i="13"/>
  <c r="AG38" i="13"/>
  <c r="AG77" i="13" s="1"/>
  <c r="AF38" i="13"/>
  <c r="AE38" i="13"/>
  <c r="AE77" i="13" s="1"/>
  <c r="AE79" i="13" s="1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K4" i="13"/>
  <c r="B4" i="13"/>
  <c r="AG3" i="13"/>
  <c r="AG6" i="13" s="1"/>
  <c r="AG2" i="13"/>
  <c r="AF100" i="12"/>
  <c r="AF37" i="12"/>
  <c r="AE100" i="12"/>
  <c r="AE37" i="12"/>
  <c r="AD100" i="12"/>
  <c r="AD37" i="12"/>
  <c r="AC100" i="12"/>
  <c r="AC37" i="12"/>
  <c r="AB100" i="12"/>
  <c r="E4" i="13"/>
  <c r="AF87" i="13" l="1"/>
  <c r="AF77" i="13"/>
  <c r="AF79" i="13" s="1"/>
  <c r="AX235" i="13" s="1"/>
  <c r="AD87" i="13"/>
  <c r="AD77" i="13"/>
  <c r="AD79" i="13" s="1"/>
  <c r="AC87" i="13"/>
  <c r="AC88" i="13"/>
  <c r="AC77" i="13"/>
  <c r="AC79" i="13" s="1"/>
  <c r="AB77" i="13"/>
  <c r="AB79" i="13" s="1"/>
  <c r="AB7" i="13" s="1"/>
  <c r="Z77" i="13"/>
  <c r="Z79" i="13" s="1"/>
  <c r="Y77" i="13"/>
  <c r="Y79" i="13" s="1"/>
  <c r="X87" i="13"/>
  <c r="X77" i="13"/>
  <c r="X79" i="13" s="1"/>
  <c r="AP235" i="13" s="1"/>
  <c r="W77" i="13"/>
  <c r="W79" i="13" s="1"/>
  <c r="V87" i="13"/>
  <c r="U87" i="13"/>
  <c r="U88" i="13" s="1"/>
  <c r="U77" i="13"/>
  <c r="U79" i="13" s="1"/>
  <c r="T77" i="13"/>
  <c r="T79" i="13" s="1"/>
  <c r="R87" i="13"/>
  <c r="R77" i="13"/>
  <c r="R79" i="13" s="1"/>
  <c r="Q77" i="13"/>
  <c r="Q79" i="13" s="1"/>
  <c r="P87" i="13"/>
  <c r="P77" i="13"/>
  <c r="P79" i="13" s="1"/>
  <c r="AH235" i="13" s="1"/>
  <c r="O77" i="13"/>
  <c r="O79" i="13" s="1"/>
  <c r="N87" i="13"/>
  <c r="M87" i="13"/>
  <c r="M88" i="13"/>
  <c r="M77" i="13"/>
  <c r="M79" i="13" s="1"/>
  <c r="M80" i="13" s="1"/>
  <c r="L77" i="13"/>
  <c r="L79" i="13" s="1"/>
  <c r="L7" i="13" s="1"/>
  <c r="J87" i="13"/>
  <c r="J77" i="13"/>
  <c r="J79" i="13" s="1"/>
  <c r="I87" i="13"/>
  <c r="I77" i="13"/>
  <c r="I79" i="13" s="1"/>
  <c r="H87" i="13"/>
  <c r="AH85" i="13"/>
  <c r="H77" i="13"/>
  <c r="H79" i="13" s="1"/>
  <c r="Z235" i="13" s="1"/>
  <c r="F87" i="13"/>
  <c r="F77" i="13"/>
  <c r="F79" i="13" s="1"/>
  <c r="F7" i="13" s="1"/>
  <c r="G77" i="13"/>
  <c r="G79" i="13" s="1"/>
  <c r="Y235" i="13" s="1"/>
  <c r="AI83" i="13"/>
  <c r="E87" i="13"/>
  <c r="E77" i="13"/>
  <c r="E79" i="13" s="1"/>
  <c r="E80" i="13" s="1"/>
  <c r="E88" i="13"/>
  <c r="N77" i="13"/>
  <c r="N79" i="13" s="1"/>
  <c r="AF235" i="13" s="1"/>
  <c r="V77" i="13"/>
  <c r="V79" i="13" s="1"/>
  <c r="AN235" i="13" s="1"/>
  <c r="D77" i="13"/>
  <c r="D79" i="13" s="1"/>
  <c r="D7" i="13" s="1"/>
  <c r="AH84" i="13"/>
  <c r="AI85" i="13"/>
  <c r="AH42" i="13"/>
  <c r="B87" i="13"/>
  <c r="AI42" i="13"/>
  <c r="B77" i="13"/>
  <c r="B79" i="13" s="1"/>
  <c r="AI38" i="13"/>
  <c r="H4" i="13"/>
  <c r="W235" i="13"/>
  <c r="AU235" i="13"/>
  <c r="AC7" i="13"/>
  <c r="AC80" i="13"/>
  <c r="X235" i="13"/>
  <c r="AV235" i="13"/>
  <c r="AD7" i="13"/>
  <c r="AD80" i="13"/>
  <c r="I80" i="13"/>
  <c r="AA235" i="13"/>
  <c r="I7" i="13"/>
  <c r="Q80" i="13"/>
  <c r="AI235" i="13"/>
  <c r="Q7" i="13"/>
  <c r="Y80" i="13"/>
  <c r="AQ235" i="13"/>
  <c r="Y7" i="13"/>
  <c r="J80" i="13"/>
  <c r="AB235" i="13"/>
  <c r="J7" i="13"/>
  <c r="R80" i="13"/>
  <c r="AJ235" i="13"/>
  <c r="R7" i="13"/>
  <c r="Z80" i="13"/>
  <c r="AR235" i="13"/>
  <c r="Z7" i="13"/>
  <c r="AM235" i="13"/>
  <c r="U7" i="13"/>
  <c r="U80" i="13"/>
  <c r="AW235" i="13"/>
  <c r="AE7" i="13"/>
  <c r="P80" i="13"/>
  <c r="P88" i="13"/>
  <c r="F256" i="13"/>
  <c r="H220" i="13"/>
  <c r="H5" i="13"/>
  <c r="I88" i="13"/>
  <c r="P5" i="13"/>
  <c r="Q88" i="13"/>
  <c r="AG235" i="13"/>
  <c r="O7" i="13"/>
  <c r="X80" i="13"/>
  <c r="AH81" i="13"/>
  <c r="G87" i="13"/>
  <c r="G88" i="13" s="1"/>
  <c r="O87" i="13"/>
  <c r="O88" i="13" s="1"/>
  <c r="AE87" i="13"/>
  <c r="AE88" i="13" s="1"/>
  <c r="P7" i="13"/>
  <c r="C77" i="13"/>
  <c r="C79" i="13" s="1"/>
  <c r="S77" i="13"/>
  <c r="S79" i="13" s="1"/>
  <c r="AA77" i="13"/>
  <c r="AA79" i="13" s="1"/>
  <c r="AF5" i="13"/>
  <c r="B88" i="13"/>
  <c r="AI72" i="13"/>
  <c r="I5" i="13"/>
  <c r="J88" i="13"/>
  <c r="Q5" i="13"/>
  <c r="R88" i="13"/>
  <c r="Y5" i="13"/>
  <c r="Z88" i="13"/>
  <c r="AH72" i="13"/>
  <c r="S232" i="13"/>
  <c r="D232" i="13"/>
  <c r="AL235" i="13"/>
  <c r="AI60" i="13"/>
  <c r="AF80" i="13"/>
  <c r="AI82" i="13"/>
  <c r="D221" i="13"/>
  <c r="AO235" i="13"/>
  <c r="W7" i="13"/>
  <c r="E215" i="13"/>
  <c r="T7" i="13"/>
  <c r="C87" i="13"/>
  <c r="C88" i="13" s="1"/>
  <c r="K87" i="13"/>
  <c r="K88" i="13" s="1"/>
  <c r="S87" i="13"/>
  <c r="S88" i="13" s="1"/>
  <c r="AA87" i="13"/>
  <c r="AA88" i="13" s="1"/>
  <c r="H88" i="13"/>
  <c r="X5" i="13"/>
  <c r="Y88" i="13"/>
  <c r="W87" i="13"/>
  <c r="X88" i="13"/>
  <c r="AF7" i="13"/>
  <c r="K77" i="13"/>
  <c r="K79" i="13" s="1"/>
  <c r="AD235" i="13"/>
  <c r="AT235" i="13"/>
  <c r="AH60" i="13"/>
  <c r="AF88" i="13"/>
  <c r="AI56" i="13"/>
  <c r="AH56" i="13"/>
  <c r="AI81" i="13"/>
  <c r="X7" i="13"/>
  <c r="F88" i="13"/>
  <c r="N88" i="13"/>
  <c r="V88" i="13"/>
  <c r="AD88" i="13"/>
  <c r="D87" i="13"/>
  <c r="D88" i="13" s="1"/>
  <c r="L87" i="13"/>
  <c r="L88" i="13" s="1"/>
  <c r="T87" i="13"/>
  <c r="T88" i="13" s="1"/>
  <c r="AB87" i="13"/>
  <c r="AB88" i="13" s="1"/>
  <c r="AI84" i="13"/>
  <c r="AH82" i="13"/>
  <c r="AH83" i="13"/>
  <c r="AH38" i="13"/>
  <c r="AE80" i="13" l="1"/>
  <c r="V80" i="13"/>
  <c r="V7" i="13"/>
  <c r="O80" i="13"/>
  <c r="N7" i="13"/>
  <c r="N80" i="13"/>
  <c r="M7" i="13"/>
  <c r="AE235" i="13"/>
  <c r="H7" i="13"/>
  <c r="H80" i="13"/>
  <c r="G7" i="13"/>
  <c r="C230" i="13"/>
  <c r="F80" i="13"/>
  <c r="E7" i="13"/>
  <c r="V235" i="13"/>
  <c r="D80" i="13"/>
  <c r="AI87" i="13"/>
  <c r="AH87" i="13"/>
  <c r="C80" i="13"/>
  <c r="C7" i="13"/>
  <c r="U235" i="13"/>
  <c r="W88" i="13"/>
  <c r="AH88" i="13" s="1"/>
  <c r="W80" i="13"/>
  <c r="G80" i="13"/>
  <c r="AB80" i="13"/>
  <c r="F215" i="13"/>
  <c r="E221" i="13"/>
  <c r="E98" i="13"/>
  <c r="B80" i="13"/>
  <c r="AI79" i="13"/>
  <c r="AH79" i="13"/>
  <c r="B7" i="13"/>
  <c r="T235" i="13"/>
  <c r="B230" i="13"/>
  <c r="S80" i="13"/>
  <c r="S7" i="13"/>
  <c r="AK235" i="13"/>
  <c r="G256" i="13"/>
  <c r="I220" i="13"/>
  <c r="L80" i="13"/>
  <c r="T80" i="13"/>
  <c r="AI77" i="13"/>
  <c r="K80" i="13"/>
  <c r="AC235" i="13"/>
  <c r="K7" i="13"/>
  <c r="AA80" i="13"/>
  <c r="AA7" i="13"/>
  <c r="AS235" i="13"/>
  <c r="AH77" i="13"/>
  <c r="Z37" i="12"/>
  <c r="Y37" i="12"/>
  <c r="X37" i="12"/>
  <c r="W37" i="12"/>
  <c r="V37" i="12"/>
  <c r="U37" i="12"/>
  <c r="U38" i="12"/>
  <c r="T37" i="12"/>
  <c r="AH37" i="12" s="1"/>
  <c r="S100" i="12"/>
  <c r="S99" i="12"/>
  <c r="S37" i="12"/>
  <c r="Q37" i="12"/>
  <c r="P37" i="12"/>
  <c r="O37" i="12"/>
  <c r="N37" i="12"/>
  <c r="M37" i="12"/>
  <c r="L100" i="12"/>
  <c r="L37" i="12"/>
  <c r="K100" i="12"/>
  <c r="J100" i="12"/>
  <c r="H100" i="12"/>
  <c r="H37" i="12"/>
  <c r="G37" i="12"/>
  <c r="F100" i="12"/>
  <c r="F37" i="12"/>
  <c r="E100" i="12"/>
  <c r="D100" i="12"/>
  <c r="C100" i="12"/>
  <c r="B100" i="12"/>
  <c r="AF260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D260" i="12"/>
  <c r="C260" i="12"/>
  <c r="B260" i="12"/>
  <c r="A260" i="12"/>
  <c r="AF259" i="12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F259" i="12"/>
  <c r="E259" i="12"/>
  <c r="D259" i="12"/>
  <c r="C259" i="12"/>
  <c r="B259" i="12"/>
  <c r="A259" i="12"/>
  <c r="AF258" i="12"/>
  <c r="AE258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F258" i="12"/>
  <c r="E258" i="12"/>
  <c r="D258" i="12"/>
  <c r="C258" i="12"/>
  <c r="B258" i="12"/>
  <c r="A258" i="12"/>
  <c r="AF257" i="12"/>
  <c r="AE257" i="12"/>
  <c r="AD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G257" i="12"/>
  <c r="F257" i="12"/>
  <c r="E257" i="12"/>
  <c r="D257" i="12"/>
  <c r="C257" i="12"/>
  <c r="B257" i="12"/>
  <c r="A257" i="12"/>
  <c r="AE256" i="12"/>
  <c r="AD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C256" i="12"/>
  <c r="B256" i="12"/>
  <c r="S231" i="12"/>
  <c r="AG221" i="12"/>
  <c r="AG55" i="12" s="1"/>
  <c r="AG56" i="12" s="1"/>
  <c r="AG3" i="12" s="1"/>
  <c r="AF221" i="12"/>
  <c r="AE221" i="12"/>
  <c r="AD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C221" i="12"/>
  <c r="E220" i="12"/>
  <c r="D256" i="12" s="1"/>
  <c r="D220" i="12"/>
  <c r="B220" i="12"/>
  <c r="AF256" i="12" s="1"/>
  <c r="D219" i="12"/>
  <c r="E219" i="12" s="1"/>
  <c r="F219" i="12" s="1"/>
  <c r="G219" i="12" s="1"/>
  <c r="H219" i="12" s="1"/>
  <c r="I219" i="12" s="1"/>
  <c r="J219" i="12" s="1"/>
  <c r="K219" i="12" s="1"/>
  <c r="L219" i="12" s="1"/>
  <c r="M219" i="12" s="1"/>
  <c r="N219" i="12" s="1"/>
  <c r="O219" i="12" s="1"/>
  <c r="P219" i="12" s="1"/>
  <c r="B219" i="12"/>
  <c r="D218" i="12"/>
  <c r="E218" i="12" s="1"/>
  <c r="F218" i="12" s="1"/>
  <c r="G218" i="12" s="1"/>
  <c r="H218" i="12" s="1"/>
  <c r="I218" i="12" s="1"/>
  <c r="J218" i="12" s="1"/>
  <c r="K218" i="12" s="1"/>
  <c r="L218" i="12" s="1"/>
  <c r="M218" i="12" s="1"/>
  <c r="N218" i="12" s="1"/>
  <c r="O218" i="12" s="1"/>
  <c r="P218" i="12" s="1"/>
  <c r="B218" i="12"/>
  <c r="E217" i="12"/>
  <c r="F217" i="12" s="1"/>
  <c r="G217" i="12" s="1"/>
  <c r="H217" i="12" s="1"/>
  <c r="I217" i="12" s="1"/>
  <c r="J217" i="12" s="1"/>
  <c r="K217" i="12" s="1"/>
  <c r="L217" i="12" s="1"/>
  <c r="M217" i="12" s="1"/>
  <c r="N217" i="12" s="1"/>
  <c r="O217" i="12" s="1"/>
  <c r="P217" i="12" s="1"/>
  <c r="D217" i="12"/>
  <c r="B217" i="12"/>
  <c r="E216" i="12"/>
  <c r="F216" i="12" s="1"/>
  <c r="G216" i="12" s="1"/>
  <c r="H216" i="12" s="1"/>
  <c r="I216" i="12" s="1"/>
  <c r="J216" i="12" s="1"/>
  <c r="K216" i="12" s="1"/>
  <c r="L216" i="12" s="1"/>
  <c r="M216" i="12" s="1"/>
  <c r="N216" i="12" s="1"/>
  <c r="O216" i="12" s="1"/>
  <c r="P216" i="12" s="1"/>
  <c r="D216" i="12"/>
  <c r="B216" i="12"/>
  <c r="D215" i="12"/>
  <c r="D221" i="12" s="1"/>
  <c r="B215" i="12"/>
  <c r="B221" i="12" s="1"/>
  <c r="AG213" i="12"/>
  <c r="AF213" i="12"/>
  <c r="AE213" i="12"/>
  <c r="AD213" i="12"/>
  <c r="AC213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O213" i="12"/>
  <c r="N213" i="12"/>
  <c r="M213" i="12"/>
  <c r="L213" i="12"/>
  <c r="K213" i="12"/>
  <c r="J213" i="12"/>
  <c r="I213" i="12"/>
  <c r="H213" i="12"/>
  <c r="G213" i="12"/>
  <c r="F213" i="12"/>
  <c r="E213" i="12"/>
  <c r="D213" i="12"/>
  <c r="C213" i="12"/>
  <c r="B213" i="12"/>
  <c r="AH106" i="12"/>
  <c r="AI106" i="12" s="1"/>
  <c r="AH105" i="12"/>
  <c r="AI105" i="12" s="1"/>
  <c r="AH104" i="12"/>
  <c r="AI104" i="12" s="1"/>
  <c r="AH103" i="12"/>
  <c r="AI103" i="12" s="1"/>
  <c r="AH102" i="12"/>
  <c r="AI102" i="12" s="1"/>
  <c r="AH101" i="12"/>
  <c r="AI101" i="12" s="1"/>
  <c r="AH100" i="12"/>
  <c r="AI100" i="12" s="1"/>
  <c r="AH99" i="12"/>
  <c r="AI99" i="12" s="1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D98" i="12"/>
  <c r="C98" i="12"/>
  <c r="AI97" i="12"/>
  <c r="AH97" i="12"/>
  <c r="AI96" i="12"/>
  <c r="AH96" i="12"/>
  <c r="AI95" i="12"/>
  <c r="AH95" i="12"/>
  <c r="AI94" i="12"/>
  <c r="AH94" i="12"/>
  <c r="AI93" i="12"/>
  <c r="AH93" i="12"/>
  <c r="AI92" i="12"/>
  <c r="AH92" i="12"/>
  <c r="AI91" i="12"/>
  <c r="AH91" i="12"/>
  <c r="AI90" i="12"/>
  <c r="AH90" i="12"/>
  <c r="AI89" i="12"/>
  <c r="AH89" i="12"/>
  <c r="AI86" i="12"/>
  <c r="AH86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AF82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G87" i="12" s="1"/>
  <c r="F81" i="12"/>
  <c r="E81" i="12"/>
  <c r="D81" i="12"/>
  <c r="D87" i="12" s="1"/>
  <c r="C81" i="12"/>
  <c r="B81" i="12"/>
  <c r="AI78" i="12"/>
  <c r="AH78" i="12"/>
  <c r="AI76" i="12"/>
  <c r="AH76" i="12"/>
  <c r="AG76" i="12"/>
  <c r="AG79" i="12" s="1"/>
  <c r="AI75" i="12"/>
  <c r="AH75" i="12"/>
  <c r="AI74" i="12"/>
  <c r="AH74" i="12"/>
  <c r="AI73" i="12"/>
  <c r="AH73" i="12"/>
  <c r="AG72" i="12"/>
  <c r="AF72" i="12"/>
  <c r="AE5" i="12" s="1"/>
  <c r="AE72" i="12"/>
  <c r="AD5" i="12" s="1"/>
  <c r="AD72" i="12"/>
  <c r="AC5" i="12" s="1"/>
  <c r="AC72" i="12"/>
  <c r="AB5" i="12" s="1"/>
  <c r="AB72" i="12"/>
  <c r="AA5" i="12" s="1"/>
  <c r="AA72" i="12"/>
  <c r="Z72" i="12"/>
  <c r="Y5" i="12" s="1"/>
  <c r="Y72" i="12"/>
  <c r="X5" i="12" s="1"/>
  <c r="X72" i="12"/>
  <c r="W5" i="12" s="1"/>
  <c r="W72" i="12"/>
  <c r="V5" i="12" s="1"/>
  <c r="V72" i="12"/>
  <c r="U5" i="12" s="1"/>
  <c r="U72" i="12"/>
  <c r="T5" i="12" s="1"/>
  <c r="T72" i="12"/>
  <c r="S72" i="12"/>
  <c r="R5" i="12" s="1"/>
  <c r="R72" i="12"/>
  <c r="Q5" i="12" s="1"/>
  <c r="Q72" i="12"/>
  <c r="P5" i="12" s="1"/>
  <c r="P72" i="12"/>
  <c r="O5" i="12" s="1"/>
  <c r="O72" i="12"/>
  <c r="N5" i="12" s="1"/>
  <c r="N72" i="12"/>
  <c r="M5" i="12" s="1"/>
  <c r="M72" i="12"/>
  <c r="L5" i="12" s="1"/>
  <c r="L72" i="12"/>
  <c r="K72" i="12"/>
  <c r="J72" i="12"/>
  <c r="I5" i="12" s="1"/>
  <c r="I72" i="12"/>
  <c r="H72" i="12"/>
  <c r="G5" i="12" s="1"/>
  <c r="G72" i="12"/>
  <c r="F5" i="12" s="1"/>
  <c r="F72" i="12"/>
  <c r="E5" i="12" s="1"/>
  <c r="E72" i="12"/>
  <c r="D5" i="12" s="1"/>
  <c r="D72" i="12"/>
  <c r="D88" i="12" s="1"/>
  <c r="C72" i="12"/>
  <c r="B72" i="12"/>
  <c r="AF5" i="12" s="1"/>
  <c r="AI71" i="12"/>
  <c r="AH71" i="12"/>
  <c r="AI70" i="12"/>
  <c r="AH70" i="12"/>
  <c r="AI69" i="12"/>
  <c r="AH69" i="12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I59" i="12"/>
  <c r="AH59" i="12"/>
  <c r="AI58" i="12"/>
  <c r="AH58" i="12"/>
  <c r="AI57" i="12"/>
  <c r="AH57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I41" i="12"/>
  <c r="AH41" i="12"/>
  <c r="AI40" i="12"/>
  <c r="AH40" i="12"/>
  <c r="AI39" i="12"/>
  <c r="AH39" i="12"/>
  <c r="AG38" i="12"/>
  <c r="AG77" i="12" s="1"/>
  <c r="AF38" i="12"/>
  <c r="AE38" i="12"/>
  <c r="AD38" i="12"/>
  <c r="AC38" i="12"/>
  <c r="AB38" i="12"/>
  <c r="AA38" i="12"/>
  <c r="Z38" i="12"/>
  <c r="Y38" i="12"/>
  <c r="X38" i="12"/>
  <c r="W38" i="12"/>
  <c r="V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I77" i="12" s="1"/>
  <c r="I79" i="12" s="1"/>
  <c r="H38" i="12"/>
  <c r="G38" i="12"/>
  <c r="F38" i="12"/>
  <c r="E38" i="12"/>
  <c r="D38" i="12"/>
  <c r="C38" i="12"/>
  <c r="B38" i="12"/>
  <c r="AI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H5" i="12"/>
  <c r="AG4" i="12"/>
  <c r="K4" i="12"/>
  <c r="B4" i="12"/>
  <c r="S232" i="12" s="1"/>
  <c r="AG2" i="12"/>
  <c r="AG6" i="12" s="1"/>
  <c r="AF100" i="11"/>
  <c r="AF37" i="11"/>
  <c r="AE100" i="11"/>
  <c r="AE37" i="11"/>
  <c r="AD100" i="11"/>
  <c r="AD37" i="11"/>
  <c r="AC100" i="11"/>
  <c r="AC37" i="11"/>
  <c r="AB100" i="11"/>
  <c r="AB37" i="11"/>
  <c r="Y37" i="11"/>
  <c r="Z37" i="11"/>
  <c r="X37" i="11"/>
  <c r="E4" i="12"/>
  <c r="K6" i="13" l="1"/>
  <c r="AI88" i="13"/>
  <c r="A7" i="13"/>
  <c r="AH80" i="13"/>
  <c r="H256" i="13"/>
  <c r="J220" i="13"/>
  <c r="G215" i="13"/>
  <c r="F98" i="13"/>
  <c r="F221" i="13"/>
  <c r="AF77" i="12"/>
  <c r="AF79" i="12" s="1"/>
  <c r="AF87" i="12"/>
  <c r="AE87" i="12"/>
  <c r="AE77" i="12"/>
  <c r="AE79" i="12" s="1"/>
  <c r="AD87" i="12"/>
  <c r="AD88" i="12" s="1"/>
  <c r="AD77" i="12"/>
  <c r="AD79" i="12" s="1"/>
  <c r="AC87" i="12"/>
  <c r="AC77" i="12"/>
  <c r="AC79" i="12" s="1"/>
  <c r="AB87" i="12"/>
  <c r="AB88" i="12" s="1"/>
  <c r="AB77" i="12"/>
  <c r="AB79" i="12" s="1"/>
  <c r="AA87" i="12"/>
  <c r="AA88" i="12" s="1"/>
  <c r="Z5" i="12"/>
  <c r="AA77" i="12"/>
  <c r="AA79" i="12" s="1"/>
  <c r="Z87" i="12"/>
  <c r="Z77" i="12"/>
  <c r="Z79" i="12" s="1"/>
  <c r="Y77" i="12"/>
  <c r="Y79" i="12" s="1"/>
  <c r="Y87" i="12"/>
  <c r="Y88" i="12" s="1"/>
  <c r="X87" i="12"/>
  <c r="X77" i="12"/>
  <c r="X79" i="12" s="1"/>
  <c r="W87" i="12"/>
  <c r="W77" i="12"/>
  <c r="W79" i="12" s="1"/>
  <c r="V87" i="12"/>
  <c r="V88" i="12" s="1"/>
  <c r="V77" i="12"/>
  <c r="V79" i="12" s="1"/>
  <c r="U87" i="12"/>
  <c r="U77" i="12"/>
  <c r="U79" i="12" s="1"/>
  <c r="T87" i="12"/>
  <c r="T88" i="12" s="1"/>
  <c r="S5" i="12"/>
  <c r="T77" i="12"/>
  <c r="T79" i="12" s="1"/>
  <c r="S87" i="12"/>
  <c r="S88" i="12" s="1"/>
  <c r="S77" i="12"/>
  <c r="S79" i="12" s="1"/>
  <c r="R87" i="12"/>
  <c r="R77" i="12"/>
  <c r="R79" i="12" s="1"/>
  <c r="Q87" i="12"/>
  <c r="Q88" i="12" s="1"/>
  <c r="P87" i="12"/>
  <c r="Q77" i="12"/>
  <c r="Q79" i="12" s="1"/>
  <c r="P77" i="12"/>
  <c r="P79" i="12" s="1"/>
  <c r="O87" i="12"/>
  <c r="O77" i="12"/>
  <c r="O79" i="12" s="1"/>
  <c r="N87" i="12"/>
  <c r="N88" i="12"/>
  <c r="N77" i="12"/>
  <c r="N79" i="12" s="1"/>
  <c r="M87" i="12"/>
  <c r="M77" i="12"/>
  <c r="M79" i="12" s="1"/>
  <c r="L87" i="12"/>
  <c r="L88" i="12" s="1"/>
  <c r="K5" i="12"/>
  <c r="L77" i="12"/>
  <c r="L79" i="12" s="1"/>
  <c r="K87" i="12"/>
  <c r="K88" i="12" s="1"/>
  <c r="J5" i="12"/>
  <c r="K77" i="12"/>
  <c r="K79" i="12" s="1"/>
  <c r="J87" i="12"/>
  <c r="J77" i="12"/>
  <c r="J79" i="12" s="1"/>
  <c r="H87" i="12"/>
  <c r="AI83" i="12"/>
  <c r="AI82" i="12"/>
  <c r="H77" i="12"/>
  <c r="H79" i="12" s="1"/>
  <c r="G77" i="12"/>
  <c r="G79" i="12" s="1"/>
  <c r="G80" i="12" s="1"/>
  <c r="F87" i="12"/>
  <c r="F88" i="12" s="1"/>
  <c r="AI85" i="12"/>
  <c r="F77" i="12"/>
  <c r="F79" i="12" s="1"/>
  <c r="X235" i="12" s="1"/>
  <c r="E87" i="12"/>
  <c r="E77" i="12"/>
  <c r="E79" i="12" s="1"/>
  <c r="C5" i="12"/>
  <c r="AI81" i="12"/>
  <c r="AI60" i="12"/>
  <c r="D77" i="12"/>
  <c r="D79" i="12" s="1"/>
  <c r="AH42" i="12"/>
  <c r="C77" i="12"/>
  <c r="C79" i="12" s="1"/>
  <c r="C7" i="12" s="1"/>
  <c r="AH84" i="12"/>
  <c r="C87" i="12"/>
  <c r="C88" i="12" s="1"/>
  <c r="B5" i="12"/>
  <c r="B87" i="12"/>
  <c r="AH81" i="12"/>
  <c r="AH56" i="12"/>
  <c r="AI42" i="12"/>
  <c r="B77" i="12"/>
  <c r="H4" i="12"/>
  <c r="K80" i="12"/>
  <c r="AC235" i="12"/>
  <c r="K7" i="12"/>
  <c r="S80" i="12"/>
  <c r="AK235" i="12"/>
  <c r="S7" i="12"/>
  <c r="D80" i="12"/>
  <c r="V235" i="12"/>
  <c r="D7" i="12"/>
  <c r="L80" i="12"/>
  <c r="AD235" i="12"/>
  <c r="L7" i="12"/>
  <c r="T80" i="12"/>
  <c r="AL235" i="12"/>
  <c r="T7" i="12"/>
  <c r="AB80" i="12"/>
  <c r="AT235" i="12"/>
  <c r="AB7" i="12"/>
  <c r="C80" i="12"/>
  <c r="AA80" i="12"/>
  <c r="AS235" i="12"/>
  <c r="AA7" i="12"/>
  <c r="W235" i="12"/>
  <c r="E7" i="12"/>
  <c r="E80" i="12"/>
  <c r="AE235" i="12"/>
  <c r="M7" i="12"/>
  <c r="M80" i="12"/>
  <c r="AM235" i="12"/>
  <c r="U7" i="12"/>
  <c r="U80" i="12"/>
  <c r="AU235" i="12"/>
  <c r="AC7" i="12"/>
  <c r="AC80" i="12"/>
  <c r="AW235" i="12"/>
  <c r="AE7" i="12"/>
  <c r="AE80" i="12"/>
  <c r="AN235" i="12"/>
  <c r="V7" i="12"/>
  <c r="V80" i="12"/>
  <c r="Y235" i="12"/>
  <c r="G7" i="12"/>
  <c r="C230" i="12"/>
  <c r="B230" i="12"/>
  <c r="P80" i="12"/>
  <c r="AH235" i="12"/>
  <c r="P7" i="12"/>
  <c r="X80" i="12"/>
  <c r="AP235" i="12"/>
  <c r="X7" i="12"/>
  <c r="AF80" i="12"/>
  <c r="AX235" i="12"/>
  <c r="AF7" i="12"/>
  <c r="E88" i="12"/>
  <c r="M88" i="12"/>
  <c r="U88" i="12"/>
  <c r="AC88" i="12"/>
  <c r="AV235" i="12"/>
  <c r="AD7" i="12"/>
  <c r="AD80" i="12"/>
  <c r="AO235" i="12"/>
  <c r="W7" i="12"/>
  <c r="W80" i="12"/>
  <c r="H80" i="12"/>
  <c r="Z235" i="12"/>
  <c r="H7" i="12"/>
  <c r="I80" i="12"/>
  <c r="AA235" i="12"/>
  <c r="I7" i="12"/>
  <c r="Q80" i="12"/>
  <c r="AI235" i="12"/>
  <c r="Q7" i="12"/>
  <c r="Y80" i="12"/>
  <c r="AQ235" i="12"/>
  <c r="Y7" i="12"/>
  <c r="AF235" i="12"/>
  <c r="N7" i="12"/>
  <c r="N80" i="12"/>
  <c r="AG235" i="12"/>
  <c r="O7" i="12"/>
  <c r="O80" i="12"/>
  <c r="B79" i="12"/>
  <c r="J80" i="12"/>
  <c r="AB235" i="12"/>
  <c r="J7" i="12"/>
  <c r="R80" i="12"/>
  <c r="AJ235" i="12"/>
  <c r="R7" i="12"/>
  <c r="Z80" i="12"/>
  <c r="AR235" i="12"/>
  <c r="Z7" i="12"/>
  <c r="G88" i="12"/>
  <c r="O88" i="12"/>
  <c r="W88" i="12"/>
  <c r="AE88" i="12"/>
  <c r="AI38" i="12"/>
  <c r="AI84" i="12"/>
  <c r="AH85" i="12"/>
  <c r="B98" i="12"/>
  <c r="D232" i="12"/>
  <c r="AH60" i="12"/>
  <c r="AH72" i="12"/>
  <c r="F220" i="12"/>
  <c r="I87" i="12"/>
  <c r="I88" i="12" s="1"/>
  <c r="H88" i="12"/>
  <c r="P88" i="12"/>
  <c r="X88" i="12"/>
  <c r="AF88" i="12"/>
  <c r="E215" i="12"/>
  <c r="AI56" i="12"/>
  <c r="AI72" i="12"/>
  <c r="AH82" i="12"/>
  <c r="B88" i="12"/>
  <c r="J88" i="12"/>
  <c r="R88" i="12"/>
  <c r="Z88" i="12"/>
  <c r="AH83" i="12"/>
  <c r="AH38" i="12"/>
  <c r="K220" i="13" l="1"/>
  <c r="I256" i="13"/>
  <c r="H215" i="13"/>
  <c r="G98" i="13"/>
  <c r="G221" i="13"/>
  <c r="F80" i="12"/>
  <c r="F7" i="12"/>
  <c r="AH77" i="12"/>
  <c r="U235" i="12"/>
  <c r="AI77" i="12"/>
  <c r="AH87" i="12"/>
  <c r="AI88" i="12"/>
  <c r="AH88" i="12"/>
  <c r="B80" i="12"/>
  <c r="AH80" i="12" s="1"/>
  <c r="AH79" i="12"/>
  <c r="T235" i="12"/>
  <c r="B7" i="12"/>
  <c r="A7" i="12" s="1"/>
  <c r="AI79" i="12"/>
  <c r="E256" i="12"/>
  <c r="G220" i="12"/>
  <c r="F215" i="12"/>
  <c r="E98" i="12"/>
  <c r="E221" i="12"/>
  <c r="AI87" i="12"/>
  <c r="K6" i="12"/>
  <c r="I215" i="13" l="1"/>
  <c r="H98" i="13"/>
  <c r="H221" i="13"/>
  <c r="J256" i="13"/>
  <c r="L220" i="13"/>
  <c r="F98" i="12"/>
  <c r="G215" i="12"/>
  <c r="F221" i="12"/>
  <c r="H220" i="12"/>
  <c r="F256" i="12"/>
  <c r="M220" i="13" l="1"/>
  <c r="K256" i="13"/>
  <c r="I98" i="13"/>
  <c r="I221" i="13"/>
  <c r="J215" i="13"/>
  <c r="G256" i="12"/>
  <c r="I220" i="12"/>
  <c r="H215" i="12"/>
  <c r="G98" i="12"/>
  <c r="G221" i="12"/>
  <c r="J221" i="13" l="1"/>
  <c r="K215" i="13"/>
  <c r="J98" i="13"/>
  <c r="L256" i="13"/>
  <c r="N220" i="13"/>
  <c r="H256" i="12"/>
  <c r="J220" i="12"/>
  <c r="I215" i="12"/>
  <c r="H98" i="12"/>
  <c r="H221" i="12"/>
  <c r="M256" i="13" l="1"/>
  <c r="O220" i="13"/>
  <c r="K221" i="13"/>
  <c r="K98" i="13"/>
  <c r="L215" i="13"/>
  <c r="K220" i="12"/>
  <c r="I256" i="12"/>
  <c r="I98" i="12"/>
  <c r="I221" i="12"/>
  <c r="J215" i="12"/>
  <c r="L221" i="13" l="1"/>
  <c r="M215" i="13"/>
  <c r="L98" i="13"/>
  <c r="N256" i="13"/>
  <c r="P220" i="13"/>
  <c r="O256" i="13" s="1"/>
  <c r="J221" i="12"/>
  <c r="K215" i="12"/>
  <c r="J98" i="12"/>
  <c r="J256" i="12"/>
  <c r="L220" i="12"/>
  <c r="N215" i="13" l="1"/>
  <c r="M221" i="13"/>
  <c r="M98" i="13"/>
  <c r="K256" i="12"/>
  <c r="M220" i="12"/>
  <c r="K221" i="12"/>
  <c r="L215" i="12"/>
  <c r="K98" i="12"/>
  <c r="O215" i="13" l="1"/>
  <c r="N98" i="13"/>
  <c r="N221" i="13"/>
  <c r="L221" i="12"/>
  <c r="M215" i="12"/>
  <c r="L98" i="12"/>
  <c r="L256" i="12"/>
  <c r="N220" i="12"/>
  <c r="P215" i="13" l="1"/>
  <c r="O98" i="13"/>
  <c r="O221" i="13"/>
  <c r="M256" i="12"/>
  <c r="O220" i="12"/>
  <c r="N215" i="12"/>
  <c r="M98" i="12"/>
  <c r="M221" i="12"/>
  <c r="P98" i="13" l="1"/>
  <c r="P221" i="13"/>
  <c r="N98" i="12"/>
  <c r="O215" i="12"/>
  <c r="N221" i="12"/>
  <c r="P220" i="12"/>
  <c r="O256" i="12" s="1"/>
  <c r="N256" i="12"/>
  <c r="AH98" i="13" l="1"/>
  <c r="AI98" i="13"/>
  <c r="P215" i="12"/>
  <c r="O98" i="12"/>
  <c r="O221" i="12"/>
  <c r="P98" i="12" l="1"/>
  <c r="P221" i="12"/>
  <c r="AI98" i="12" l="1"/>
  <c r="AH98" i="12"/>
  <c r="U37" i="11" l="1"/>
  <c r="T37" i="11"/>
  <c r="R37" i="11"/>
  <c r="Q37" i="11" l="1"/>
  <c r="P37" i="11"/>
  <c r="O37" i="11"/>
  <c r="N37" i="11"/>
  <c r="M37" i="11"/>
  <c r="L37" i="11"/>
  <c r="K37" i="11"/>
  <c r="J37" i="11"/>
  <c r="I37" i="11"/>
  <c r="H37" i="11"/>
  <c r="G37" i="11"/>
  <c r="F37" i="11"/>
  <c r="E37" i="11"/>
  <c r="AJ55" i="10"/>
  <c r="D100" i="11"/>
  <c r="D99" i="11"/>
  <c r="D37" i="11"/>
  <c r="AH37" i="11"/>
  <c r="C100" i="11"/>
  <c r="C99" i="11"/>
  <c r="C37" i="11"/>
  <c r="C98" i="11"/>
  <c r="C85" i="11"/>
  <c r="C84" i="11"/>
  <c r="C83" i="11"/>
  <c r="C82" i="11"/>
  <c r="C81" i="11"/>
  <c r="C72" i="11"/>
  <c r="B5" i="11" s="1"/>
  <c r="C60" i="11"/>
  <c r="C56" i="11"/>
  <c r="C42" i="11"/>
  <c r="C38" i="11"/>
  <c r="B38" i="11"/>
  <c r="B77" i="11" s="1"/>
  <c r="B79" i="11" s="1"/>
  <c r="B42" i="11"/>
  <c r="B56" i="11"/>
  <c r="B60" i="11"/>
  <c r="B72" i="11"/>
  <c r="AF5" i="11" s="1"/>
  <c r="B81" i="11"/>
  <c r="B82" i="11"/>
  <c r="B83" i="11"/>
  <c r="B84" i="11"/>
  <c r="B85" i="11"/>
  <c r="B98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D256" i="11"/>
  <c r="C256" i="11"/>
  <c r="B256" i="11"/>
  <c r="S23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C221" i="11"/>
  <c r="F220" i="11"/>
  <c r="E220" i="11"/>
  <c r="D220" i="11"/>
  <c r="B220" i="11"/>
  <c r="AF256" i="11" s="1"/>
  <c r="D219" i="11"/>
  <c r="E219" i="11" s="1"/>
  <c r="F219" i="11" s="1"/>
  <c r="G219" i="11" s="1"/>
  <c r="H219" i="11" s="1"/>
  <c r="I219" i="11" s="1"/>
  <c r="J219" i="11" s="1"/>
  <c r="K219" i="11" s="1"/>
  <c r="L219" i="11" s="1"/>
  <c r="M219" i="11" s="1"/>
  <c r="N219" i="11" s="1"/>
  <c r="O219" i="11" s="1"/>
  <c r="P219" i="11" s="1"/>
  <c r="B219" i="11"/>
  <c r="J218" i="11"/>
  <c r="K218" i="11" s="1"/>
  <c r="L218" i="11" s="1"/>
  <c r="M218" i="11" s="1"/>
  <c r="N218" i="11" s="1"/>
  <c r="O218" i="11" s="1"/>
  <c r="P218" i="11" s="1"/>
  <c r="D218" i="11"/>
  <c r="E218" i="11" s="1"/>
  <c r="F218" i="11" s="1"/>
  <c r="G218" i="11" s="1"/>
  <c r="H218" i="11" s="1"/>
  <c r="I218" i="11" s="1"/>
  <c r="B218" i="11"/>
  <c r="H217" i="11"/>
  <c r="I217" i="11" s="1"/>
  <c r="J217" i="11" s="1"/>
  <c r="K217" i="11" s="1"/>
  <c r="L217" i="11" s="1"/>
  <c r="M217" i="11" s="1"/>
  <c r="N217" i="11" s="1"/>
  <c r="O217" i="11" s="1"/>
  <c r="P217" i="11" s="1"/>
  <c r="G217" i="11"/>
  <c r="F217" i="11"/>
  <c r="E217" i="11"/>
  <c r="D217" i="11"/>
  <c r="B217" i="11"/>
  <c r="N216" i="11"/>
  <c r="O216" i="11" s="1"/>
  <c r="P216" i="11" s="1"/>
  <c r="F216" i="11"/>
  <c r="G216" i="11" s="1"/>
  <c r="H216" i="11" s="1"/>
  <c r="I216" i="11" s="1"/>
  <c r="J216" i="11" s="1"/>
  <c r="K216" i="11" s="1"/>
  <c r="L216" i="11" s="1"/>
  <c r="M216" i="11" s="1"/>
  <c r="E216" i="11"/>
  <c r="D216" i="11"/>
  <c r="B216" i="11"/>
  <c r="D215" i="11"/>
  <c r="D98" i="11" s="1"/>
  <c r="B215" i="11"/>
  <c r="B221" i="11" s="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H106" i="11"/>
  <c r="AI106" i="11" s="1"/>
  <c r="AH105" i="11"/>
  <c r="AI105" i="11" s="1"/>
  <c r="AH104" i="11"/>
  <c r="AI104" i="11" s="1"/>
  <c r="AH103" i="11"/>
  <c r="AI103" i="11" s="1"/>
  <c r="AH102" i="11"/>
  <c r="AI102" i="11" s="1"/>
  <c r="AH101" i="11"/>
  <c r="AI101" i="11" s="1"/>
  <c r="AH100" i="11"/>
  <c r="AI100" i="11" s="1"/>
  <c r="AH99" i="11"/>
  <c r="AI99" i="11" s="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AI97" i="11"/>
  <c r="AH97" i="11"/>
  <c r="AI96" i="11"/>
  <c r="AH96" i="11"/>
  <c r="AI95" i="11"/>
  <c r="AH95" i="11"/>
  <c r="AI94" i="11"/>
  <c r="AH94" i="11"/>
  <c r="AI93" i="11"/>
  <c r="AH93" i="11"/>
  <c r="AI92" i="11"/>
  <c r="AH92" i="11"/>
  <c r="AI91" i="11"/>
  <c r="AH91" i="11"/>
  <c r="AI90" i="11"/>
  <c r="AH90" i="11"/>
  <c r="AI89" i="11"/>
  <c r="AH89" i="11"/>
  <c r="AI86" i="11"/>
  <c r="AH86" i="11"/>
  <c r="AF85" i="11"/>
  <c r="AE85" i="11"/>
  <c r="AD85" i="11"/>
  <c r="AC85" i="11"/>
  <c r="AB85" i="11"/>
  <c r="AA85" i="11"/>
  <c r="Z85" i="11"/>
  <c r="Y85" i="11"/>
  <c r="X85" i="11"/>
  <c r="X87" i="11" s="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Q87" i="11" s="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AF81" i="11"/>
  <c r="AE81" i="11"/>
  <c r="AD81" i="11"/>
  <c r="AC81" i="11"/>
  <c r="AB81" i="11"/>
  <c r="AA81" i="11"/>
  <c r="Z81" i="11"/>
  <c r="Y81" i="11"/>
  <c r="Y87" i="11" s="1"/>
  <c r="X81" i="11"/>
  <c r="W81" i="11"/>
  <c r="V81" i="11"/>
  <c r="U81" i="11"/>
  <c r="T81" i="11"/>
  <c r="S81" i="11"/>
  <c r="R81" i="11"/>
  <c r="Q81" i="11"/>
  <c r="P81" i="11"/>
  <c r="O81" i="11"/>
  <c r="O87" i="11" s="1"/>
  <c r="N81" i="11"/>
  <c r="M81" i="11"/>
  <c r="L81" i="11"/>
  <c r="K81" i="11"/>
  <c r="K87" i="11" s="1"/>
  <c r="J81" i="11"/>
  <c r="I81" i="11"/>
  <c r="H81" i="11"/>
  <c r="G81" i="11"/>
  <c r="F81" i="11"/>
  <c r="E81" i="11"/>
  <c r="D81" i="11"/>
  <c r="AI78" i="11"/>
  <c r="AH78" i="11"/>
  <c r="AI76" i="11"/>
  <c r="AH76" i="11"/>
  <c r="AG76" i="11"/>
  <c r="AI75" i="11"/>
  <c r="AH75" i="11"/>
  <c r="AI74" i="11"/>
  <c r="AH74" i="11"/>
  <c r="AI73" i="11"/>
  <c r="AH73" i="11"/>
  <c r="AG72" i="11"/>
  <c r="AG79" i="11" s="1"/>
  <c r="AF72" i="11"/>
  <c r="AE72" i="11"/>
  <c r="AD5" i="11" s="1"/>
  <c r="AD72" i="11"/>
  <c r="AC5" i="11" s="1"/>
  <c r="AC72" i="11"/>
  <c r="AB5" i="11" s="1"/>
  <c r="AB72" i="11"/>
  <c r="AA5" i="11" s="1"/>
  <c r="AA72" i="11"/>
  <c r="Z5" i="11" s="1"/>
  <c r="Z72" i="11"/>
  <c r="Y5" i="11" s="1"/>
  <c r="Y72" i="11"/>
  <c r="X72" i="11"/>
  <c r="W72" i="11"/>
  <c r="V5" i="11" s="1"/>
  <c r="V72" i="11"/>
  <c r="U5" i="11" s="1"/>
  <c r="U72" i="11"/>
  <c r="T5" i="11" s="1"/>
  <c r="T72" i="11"/>
  <c r="S5" i="11" s="1"/>
  <c r="S72" i="11"/>
  <c r="R72" i="11"/>
  <c r="Q5" i="11" s="1"/>
  <c r="Q72" i="11"/>
  <c r="P72" i="11"/>
  <c r="O72" i="11"/>
  <c r="N5" i="11" s="1"/>
  <c r="N72" i="11"/>
  <c r="M5" i="11" s="1"/>
  <c r="M72" i="11"/>
  <c r="L72" i="11"/>
  <c r="K5" i="11" s="1"/>
  <c r="K72" i="11"/>
  <c r="J5" i="11" s="1"/>
  <c r="J72" i="11"/>
  <c r="I5" i="11" s="1"/>
  <c r="I72" i="11"/>
  <c r="H72" i="11"/>
  <c r="G72" i="11"/>
  <c r="F5" i="11" s="1"/>
  <c r="F72" i="11"/>
  <c r="E5" i="11" s="1"/>
  <c r="E72" i="11"/>
  <c r="D5" i="11" s="1"/>
  <c r="D72" i="11"/>
  <c r="C5" i="11" s="1"/>
  <c r="AI71" i="11"/>
  <c r="AH71" i="11"/>
  <c r="AI70" i="11"/>
  <c r="AH70" i="11"/>
  <c r="AI69" i="11"/>
  <c r="AH69" i="1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G60" i="11"/>
  <c r="AG4" i="11" s="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AI55" i="11"/>
  <c r="AH55" i="11"/>
  <c r="AG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AI41" i="11"/>
  <c r="AH41" i="11"/>
  <c r="AI40" i="11"/>
  <c r="AH40" i="11"/>
  <c r="AI39" i="11"/>
  <c r="AH39" i="11"/>
  <c r="AG38" i="11"/>
  <c r="AG77" i="11" s="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AI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R5" i="11"/>
  <c r="L5" i="11"/>
  <c r="K4" i="11"/>
  <c r="B4" i="11"/>
  <c r="AG3" i="11"/>
  <c r="AG2" i="11"/>
  <c r="AF100" i="10"/>
  <c r="AF99" i="10"/>
  <c r="AF37" i="10"/>
  <c r="AE100" i="10"/>
  <c r="AE99" i="10"/>
  <c r="AE37" i="10"/>
  <c r="AD100" i="10"/>
  <c r="AD99" i="10"/>
  <c r="AD37" i="10"/>
  <c r="AC37" i="10"/>
  <c r="AB37" i="10"/>
  <c r="AA98" i="10"/>
  <c r="Z100" i="10"/>
  <c r="Z37" i="10"/>
  <c r="Y100" i="10"/>
  <c r="Y37" i="10"/>
  <c r="X100" i="10"/>
  <c r="X37" i="10"/>
  <c r="W100" i="10"/>
  <c r="W37" i="10"/>
  <c r="V100" i="10"/>
  <c r="V37" i="10"/>
  <c r="U100" i="10"/>
  <c r="U37" i="10"/>
  <c r="T100" i="10"/>
  <c r="T37" i="10"/>
  <c r="S100" i="10"/>
  <c r="S37" i="10"/>
  <c r="Q37" i="10"/>
  <c r="R37" i="10"/>
  <c r="P100" i="10"/>
  <c r="P37" i="10"/>
  <c r="O100" i="10"/>
  <c r="O37" i="10"/>
  <c r="N100" i="10"/>
  <c r="N37" i="10"/>
  <c r="M100" i="10"/>
  <c r="M37" i="10"/>
  <c r="L100" i="10"/>
  <c r="L99" i="10"/>
  <c r="L37" i="10"/>
  <c r="K100" i="10"/>
  <c r="K99" i="10"/>
  <c r="K37" i="10"/>
  <c r="J100" i="10"/>
  <c r="J99" i="10"/>
  <c r="J37" i="10"/>
  <c r="I37" i="10"/>
  <c r="H37" i="10"/>
  <c r="G37" i="10"/>
  <c r="F37" i="10"/>
  <c r="E37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E256" i="10"/>
  <c r="D256" i="10"/>
  <c r="C256" i="10"/>
  <c r="B256" i="10"/>
  <c r="S231" i="10"/>
  <c r="AG221" i="10"/>
  <c r="AG55" i="10" s="1"/>
  <c r="AG56" i="10" s="1"/>
  <c r="AG3" i="10" s="1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C221" i="10"/>
  <c r="H220" i="10"/>
  <c r="G256" i="10" s="1"/>
  <c r="G220" i="10"/>
  <c r="F256" i="10" s="1"/>
  <c r="F220" i="10"/>
  <c r="E220" i="10"/>
  <c r="D220" i="10"/>
  <c r="B220" i="10"/>
  <c r="AF256" i="10" s="1"/>
  <c r="F219" i="10"/>
  <c r="G219" i="10" s="1"/>
  <c r="H219" i="10" s="1"/>
  <c r="I219" i="10" s="1"/>
  <c r="J219" i="10" s="1"/>
  <c r="K219" i="10" s="1"/>
  <c r="L219" i="10" s="1"/>
  <c r="M219" i="10" s="1"/>
  <c r="N219" i="10" s="1"/>
  <c r="O219" i="10" s="1"/>
  <c r="P219" i="10" s="1"/>
  <c r="E219" i="10"/>
  <c r="D219" i="10"/>
  <c r="B219" i="10"/>
  <c r="D218" i="10"/>
  <c r="D221" i="10" s="1"/>
  <c r="B218" i="10"/>
  <c r="E217" i="10"/>
  <c r="F217" i="10" s="1"/>
  <c r="G217" i="10" s="1"/>
  <c r="H217" i="10" s="1"/>
  <c r="I217" i="10" s="1"/>
  <c r="J217" i="10" s="1"/>
  <c r="K217" i="10" s="1"/>
  <c r="L217" i="10" s="1"/>
  <c r="M217" i="10" s="1"/>
  <c r="N217" i="10" s="1"/>
  <c r="O217" i="10" s="1"/>
  <c r="P217" i="10" s="1"/>
  <c r="D217" i="10"/>
  <c r="B217" i="10"/>
  <c r="H216" i="10"/>
  <c r="I216" i="10" s="1"/>
  <c r="J216" i="10" s="1"/>
  <c r="K216" i="10" s="1"/>
  <c r="L216" i="10" s="1"/>
  <c r="M216" i="10" s="1"/>
  <c r="N216" i="10" s="1"/>
  <c r="O216" i="10" s="1"/>
  <c r="P216" i="10" s="1"/>
  <c r="G216" i="10"/>
  <c r="F216" i="10"/>
  <c r="E216" i="10"/>
  <c r="D216" i="10"/>
  <c r="B216" i="10"/>
  <c r="F215" i="10"/>
  <c r="G215" i="10" s="1"/>
  <c r="E215" i="10"/>
  <c r="D215" i="10"/>
  <c r="B215" i="10"/>
  <c r="B221" i="10" s="1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H106" i="10"/>
  <c r="AI106" i="10" s="1"/>
  <c r="AH105" i="10"/>
  <c r="AI105" i="10" s="1"/>
  <c r="AH104" i="10"/>
  <c r="AI104" i="10" s="1"/>
  <c r="AH103" i="10"/>
  <c r="AI103" i="10" s="1"/>
  <c r="AH102" i="10"/>
  <c r="AI102" i="10" s="1"/>
  <c r="AH101" i="10"/>
  <c r="AI101" i="10" s="1"/>
  <c r="AH100" i="10"/>
  <c r="AI100" i="10" s="1"/>
  <c r="AH99" i="10"/>
  <c r="AI99" i="10" s="1"/>
  <c r="AF98" i="10"/>
  <c r="AE98" i="10"/>
  <c r="AD98" i="10"/>
  <c r="AC98" i="10"/>
  <c r="AB98" i="10"/>
  <c r="Z98" i="10"/>
  <c r="Y98" i="10"/>
  <c r="X98" i="10"/>
  <c r="W98" i="10"/>
  <c r="V98" i="10"/>
  <c r="U98" i="10"/>
  <c r="T98" i="10"/>
  <c r="S98" i="10"/>
  <c r="R98" i="10"/>
  <c r="Q98" i="10"/>
  <c r="F98" i="10"/>
  <c r="E98" i="10"/>
  <c r="D98" i="10"/>
  <c r="C98" i="10"/>
  <c r="AI97" i="10"/>
  <c r="AH97" i="10"/>
  <c r="AI96" i="10"/>
  <c r="AH96" i="10"/>
  <c r="AI95" i="10"/>
  <c r="AH95" i="10"/>
  <c r="AI94" i="10"/>
  <c r="AH94" i="10"/>
  <c r="AI93" i="10"/>
  <c r="AH93" i="10"/>
  <c r="AI92" i="10"/>
  <c r="AH92" i="10"/>
  <c r="AI91" i="10"/>
  <c r="AH91" i="10"/>
  <c r="AI90" i="10"/>
  <c r="AH90" i="10"/>
  <c r="AI89" i="10"/>
  <c r="AH89" i="10"/>
  <c r="AI86" i="10"/>
  <c r="AH86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F81" i="10"/>
  <c r="AE81" i="10"/>
  <c r="AD81" i="10"/>
  <c r="AC81" i="10"/>
  <c r="AB81" i="10"/>
  <c r="AB87" i="10" s="1"/>
  <c r="AA81" i="10"/>
  <c r="Z81" i="10"/>
  <c r="Y81" i="10"/>
  <c r="X81" i="10"/>
  <c r="W81" i="10"/>
  <c r="V81" i="10"/>
  <c r="V87" i="10" s="1"/>
  <c r="U81" i="10"/>
  <c r="T81" i="10"/>
  <c r="S81" i="10"/>
  <c r="R81" i="10"/>
  <c r="Q81" i="10"/>
  <c r="P81" i="10"/>
  <c r="O81" i="10"/>
  <c r="N81" i="10"/>
  <c r="M81" i="10"/>
  <c r="L81" i="10"/>
  <c r="L87" i="10" s="1"/>
  <c r="K81" i="10"/>
  <c r="J81" i="10"/>
  <c r="I81" i="10"/>
  <c r="H81" i="10"/>
  <c r="G81" i="10"/>
  <c r="F81" i="10"/>
  <c r="E81" i="10"/>
  <c r="D81" i="10"/>
  <c r="C81" i="10"/>
  <c r="C87" i="10" s="1"/>
  <c r="B81" i="10"/>
  <c r="AI78" i="10"/>
  <c r="AH78" i="10"/>
  <c r="AI76" i="10"/>
  <c r="AH76" i="10"/>
  <c r="AG76" i="10"/>
  <c r="AG79" i="10" s="1"/>
  <c r="AI75" i="10"/>
  <c r="AH75" i="10"/>
  <c r="AI74" i="10"/>
  <c r="AH74" i="10"/>
  <c r="AI73" i="10"/>
  <c r="AH73" i="10"/>
  <c r="AG72" i="10"/>
  <c r="AF72" i="10"/>
  <c r="AE72" i="10"/>
  <c r="AD72" i="10"/>
  <c r="AC5" i="10" s="1"/>
  <c r="AC72" i="10"/>
  <c r="AB72" i="10"/>
  <c r="AA5" i="10" s="1"/>
  <c r="AA72" i="10"/>
  <c r="Z5" i="10" s="1"/>
  <c r="Z72" i="10"/>
  <c r="Y5" i="10" s="1"/>
  <c r="Y72" i="10"/>
  <c r="X5" i="10" s="1"/>
  <c r="X72" i="10"/>
  <c r="W72" i="10"/>
  <c r="V72" i="10"/>
  <c r="U72" i="10"/>
  <c r="T5" i="10" s="1"/>
  <c r="T72" i="10"/>
  <c r="S5" i="10" s="1"/>
  <c r="S72" i="10"/>
  <c r="R72" i="10"/>
  <c r="Q5" i="10" s="1"/>
  <c r="Q72" i="10"/>
  <c r="P5" i="10" s="1"/>
  <c r="P72" i="10"/>
  <c r="O72" i="10"/>
  <c r="N72" i="10"/>
  <c r="M72" i="10"/>
  <c r="L5" i="10" s="1"/>
  <c r="L72" i="10"/>
  <c r="K5" i="10" s="1"/>
  <c r="K72" i="10"/>
  <c r="J5" i="10" s="1"/>
  <c r="J72" i="10"/>
  <c r="I5" i="10" s="1"/>
  <c r="I72" i="10"/>
  <c r="H5" i="10" s="1"/>
  <c r="H72" i="10"/>
  <c r="G72" i="10"/>
  <c r="F72" i="10"/>
  <c r="E72" i="10"/>
  <c r="D5" i="10" s="1"/>
  <c r="D72" i="10"/>
  <c r="C5" i="10" s="1"/>
  <c r="C72" i="10"/>
  <c r="B5" i="10" s="1"/>
  <c r="B72" i="10"/>
  <c r="AF5" i="10" s="1"/>
  <c r="AI71" i="10"/>
  <c r="AH71" i="10"/>
  <c r="AI70" i="10"/>
  <c r="AH70" i="10"/>
  <c r="AI69" i="10"/>
  <c r="AH69" i="10"/>
  <c r="AI68" i="10"/>
  <c r="AH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I59" i="10"/>
  <c r="AH59" i="10"/>
  <c r="AI58" i="10"/>
  <c r="AH58" i="10"/>
  <c r="AI57" i="10"/>
  <c r="AH57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I41" i="10"/>
  <c r="AH41" i="10"/>
  <c r="AI40" i="10"/>
  <c r="AH40" i="10"/>
  <c r="AI39" i="10"/>
  <c r="AH39" i="10"/>
  <c r="AG38" i="10"/>
  <c r="AG77" i="10" s="1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B5" i="10"/>
  <c r="W5" i="10"/>
  <c r="R5" i="10"/>
  <c r="O5" i="10"/>
  <c r="AG4" i="10"/>
  <c r="K4" i="10"/>
  <c r="B4" i="10"/>
  <c r="S232" i="10" s="1"/>
  <c r="AG2" i="10"/>
  <c r="AG6" i="10" s="1"/>
  <c r="Z100" i="9"/>
  <c r="Y100" i="9"/>
  <c r="X100" i="9"/>
  <c r="W100" i="9"/>
  <c r="V100" i="9"/>
  <c r="U100" i="9"/>
  <c r="E4" i="10"/>
  <c r="E4" i="11"/>
  <c r="AF87" i="11" l="1"/>
  <c r="AE87" i="11"/>
  <c r="AE88" i="11" s="1"/>
  <c r="AE77" i="11"/>
  <c r="AE79" i="11" s="1"/>
  <c r="AD77" i="11"/>
  <c r="AD79" i="11" s="1"/>
  <c r="AC77" i="11"/>
  <c r="AC79" i="11" s="1"/>
  <c r="AB77" i="11"/>
  <c r="AB79" i="11" s="1"/>
  <c r="AA87" i="11"/>
  <c r="AA77" i="11"/>
  <c r="AA79" i="11" s="1"/>
  <c r="AA7" i="11" s="1"/>
  <c r="Z77" i="11"/>
  <c r="Z79" i="11" s="1"/>
  <c r="Z87" i="11"/>
  <c r="Y77" i="11"/>
  <c r="Y79" i="11" s="1"/>
  <c r="W87" i="11"/>
  <c r="W88" i="11" s="1"/>
  <c r="W77" i="11"/>
  <c r="W79" i="11" s="1"/>
  <c r="V77" i="11"/>
  <c r="V79" i="11" s="1"/>
  <c r="U77" i="11"/>
  <c r="U79" i="11" s="1"/>
  <c r="T77" i="11"/>
  <c r="T79" i="11" s="1"/>
  <c r="S87" i="11"/>
  <c r="R87" i="11"/>
  <c r="R77" i="11"/>
  <c r="R79" i="11" s="1"/>
  <c r="R80" i="11" s="1"/>
  <c r="Q77" i="11"/>
  <c r="Q79" i="11" s="1"/>
  <c r="S77" i="11"/>
  <c r="S79" i="11" s="1"/>
  <c r="P87" i="11"/>
  <c r="O88" i="11"/>
  <c r="O77" i="11"/>
  <c r="O79" i="11" s="1"/>
  <c r="N77" i="11"/>
  <c r="N79" i="11" s="1"/>
  <c r="M77" i="11"/>
  <c r="M79" i="11" s="1"/>
  <c r="M7" i="11" s="1"/>
  <c r="L77" i="11"/>
  <c r="L79" i="11" s="1"/>
  <c r="K77" i="11"/>
  <c r="K79" i="11" s="1"/>
  <c r="AC235" i="11" s="1"/>
  <c r="J87" i="11"/>
  <c r="J88" i="11" s="1"/>
  <c r="J77" i="11"/>
  <c r="J79" i="11" s="1"/>
  <c r="I87" i="11"/>
  <c r="I77" i="11"/>
  <c r="I79" i="11" s="1"/>
  <c r="I80" i="11" s="1"/>
  <c r="H87" i="11"/>
  <c r="AI82" i="11"/>
  <c r="G77" i="11"/>
  <c r="G79" i="11" s="1"/>
  <c r="F77" i="11"/>
  <c r="F79" i="11" s="1"/>
  <c r="X235" i="11" s="1"/>
  <c r="AI81" i="11"/>
  <c r="E77" i="11"/>
  <c r="E79" i="11" s="1"/>
  <c r="E7" i="11" s="1"/>
  <c r="AI56" i="11"/>
  <c r="D77" i="11"/>
  <c r="D79" i="11" s="1"/>
  <c r="V235" i="11" s="1"/>
  <c r="C87" i="11"/>
  <c r="C77" i="11"/>
  <c r="C79" i="11" s="1"/>
  <c r="C80" i="11" s="1"/>
  <c r="C88" i="11"/>
  <c r="B87" i="11"/>
  <c r="B80" i="11" s="1"/>
  <c r="H4" i="11"/>
  <c r="AA235" i="11"/>
  <c r="Q80" i="11"/>
  <c r="AI235" i="11"/>
  <c r="Q7" i="11"/>
  <c r="AE235" i="11"/>
  <c r="AM235" i="11"/>
  <c r="U7" i="11"/>
  <c r="AU235" i="11"/>
  <c r="AC7" i="11"/>
  <c r="AV235" i="11"/>
  <c r="AD7" i="11"/>
  <c r="S80" i="11"/>
  <c r="AK235" i="11"/>
  <c r="AA80" i="11"/>
  <c r="AS235" i="11"/>
  <c r="AF235" i="11"/>
  <c r="N7" i="11"/>
  <c r="AG6" i="11"/>
  <c r="AD235" i="11"/>
  <c r="L7" i="11"/>
  <c r="AL235" i="11"/>
  <c r="T7" i="11"/>
  <c r="AT235" i="11"/>
  <c r="AB7" i="11"/>
  <c r="E256" i="11"/>
  <c r="G220" i="11"/>
  <c r="AB235" i="11"/>
  <c r="G5" i="11"/>
  <c r="H88" i="11"/>
  <c r="O5" i="11"/>
  <c r="P88" i="11"/>
  <c r="W5" i="11"/>
  <c r="X88" i="11"/>
  <c r="AE5" i="11"/>
  <c r="AF88" i="11"/>
  <c r="AN235" i="11"/>
  <c r="V7" i="11"/>
  <c r="Y80" i="11"/>
  <c r="AQ235" i="11"/>
  <c r="Y7" i="11"/>
  <c r="D221" i="11"/>
  <c r="E215" i="11"/>
  <c r="S232" i="11"/>
  <c r="D232" i="11"/>
  <c r="J7" i="11"/>
  <c r="H5" i="11"/>
  <c r="I88" i="11"/>
  <c r="P5" i="11"/>
  <c r="Q88" i="11"/>
  <c r="X5" i="11"/>
  <c r="Y88" i="11"/>
  <c r="D87" i="11"/>
  <c r="D88" i="11" s="1"/>
  <c r="L87" i="11"/>
  <c r="L88" i="11" s="1"/>
  <c r="T87" i="11"/>
  <c r="T88" i="11" s="1"/>
  <c r="AB87" i="11"/>
  <c r="AB88" i="11" s="1"/>
  <c r="AR235" i="11"/>
  <c r="Y235" i="11"/>
  <c r="G7" i="11"/>
  <c r="AO235" i="11"/>
  <c r="W7" i="11"/>
  <c r="AW235" i="11"/>
  <c r="AE7" i="11"/>
  <c r="E87" i="11"/>
  <c r="M87" i="11"/>
  <c r="U87" i="11"/>
  <c r="U80" i="11" s="1"/>
  <c r="AC87" i="11"/>
  <c r="AC80" i="11" s="1"/>
  <c r="AG235" i="11"/>
  <c r="O7" i="11"/>
  <c r="R7" i="11"/>
  <c r="H77" i="11"/>
  <c r="H79" i="11" s="1"/>
  <c r="P77" i="11"/>
  <c r="P79" i="11" s="1"/>
  <c r="X77" i="11"/>
  <c r="X79" i="11" s="1"/>
  <c r="AF77" i="11"/>
  <c r="AF79" i="11" s="1"/>
  <c r="AH42" i="11"/>
  <c r="K88" i="11"/>
  <c r="S88" i="11"/>
  <c r="AA88" i="11"/>
  <c r="O80" i="11"/>
  <c r="F87" i="11"/>
  <c r="F88" i="11" s="1"/>
  <c r="N87" i="11"/>
  <c r="N88" i="11" s="1"/>
  <c r="V87" i="11"/>
  <c r="V88" i="11" s="1"/>
  <c r="AD87" i="11"/>
  <c r="AD80" i="11" s="1"/>
  <c r="AI85" i="11"/>
  <c r="S7" i="11"/>
  <c r="AI42" i="11"/>
  <c r="AH60" i="11"/>
  <c r="W80" i="11"/>
  <c r="AH81" i="11"/>
  <c r="G87" i="11"/>
  <c r="G88" i="11" s="1"/>
  <c r="AH84" i="11"/>
  <c r="AC88" i="11"/>
  <c r="AI83" i="11"/>
  <c r="AI38" i="11"/>
  <c r="AI84" i="11"/>
  <c r="AH85" i="11"/>
  <c r="AH56" i="11"/>
  <c r="AH72" i="11"/>
  <c r="AI60" i="11"/>
  <c r="AI72" i="11"/>
  <c r="AH82" i="11"/>
  <c r="R88" i="11"/>
  <c r="Z88" i="11"/>
  <c r="AH83" i="11"/>
  <c r="AH38" i="11"/>
  <c r="AE5" i="10"/>
  <c r="AF87" i="10"/>
  <c r="AF88" i="10" s="1"/>
  <c r="AF77" i="10"/>
  <c r="AF79" i="10" s="1"/>
  <c r="AE87" i="10"/>
  <c r="AE88" i="10"/>
  <c r="AD5" i="10"/>
  <c r="AE77" i="10"/>
  <c r="AE79" i="10" s="1"/>
  <c r="AW235" i="10" s="1"/>
  <c r="AH37" i="10"/>
  <c r="AD87" i="10"/>
  <c r="AD88" i="10" s="1"/>
  <c r="AD77" i="10"/>
  <c r="AD79" i="10" s="1"/>
  <c r="AC87" i="10"/>
  <c r="AC77" i="10"/>
  <c r="AC79" i="10" s="1"/>
  <c r="AB77" i="10"/>
  <c r="AB79" i="10" s="1"/>
  <c r="AA87" i="10"/>
  <c r="AA77" i="10"/>
  <c r="AA79" i="10" s="1"/>
  <c r="Z87" i="10"/>
  <c r="Z77" i="10"/>
  <c r="Z79" i="10" s="1"/>
  <c r="Z7" i="10" s="1"/>
  <c r="AI37" i="10"/>
  <c r="Y87" i="10"/>
  <c r="Y88" i="10" s="1"/>
  <c r="Y77" i="10"/>
  <c r="Y79" i="10" s="1"/>
  <c r="X77" i="10"/>
  <c r="X79" i="10" s="1"/>
  <c r="X87" i="10"/>
  <c r="X88" i="10" s="1"/>
  <c r="V5" i="10"/>
  <c r="W87" i="10"/>
  <c r="W88" i="10" s="1"/>
  <c r="W77" i="10"/>
  <c r="W79" i="10" s="1"/>
  <c r="AO235" i="10" s="1"/>
  <c r="V88" i="10"/>
  <c r="U5" i="10"/>
  <c r="V77" i="10"/>
  <c r="V79" i="10" s="1"/>
  <c r="U87" i="10"/>
  <c r="U77" i="10"/>
  <c r="U79" i="10" s="1"/>
  <c r="T87" i="10"/>
  <c r="T77" i="10"/>
  <c r="T79" i="10" s="1"/>
  <c r="S87" i="10"/>
  <c r="S77" i="10"/>
  <c r="S79" i="10" s="1"/>
  <c r="Q87" i="10"/>
  <c r="R87" i="10"/>
  <c r="Q88" i="10"/>
  <c r="Q77" i="10"/>
  <c r="Q79" i="10" s="1"/>
  <c r="R77" i="10"/>
  <c r="R79" i="10" s="1"/>
  <c r="P87" i="10"/>
  <c r="P88" i="10"/>
  <c r="P77" i="10"/>
  <c r="P79" i="10" s="1"/>
  <c r="N5" i="10"/>
  <c r="O87" i="10"/>
  <c r="O88" i="10" s="1"/>
  <c r="O77" i="10"/>
  <c r="O79" i="10" s="1"/>
  <c r="O7" i="10" s="1"/>
  <c r="M5" i="10"/>
  <c r="N87" i="10"/>
  <c r="N88" i="10" s="1"/>
  <c r="N77" i="10"/>
  <c r="N79" i="10" s="1"/>
  <c r="M77" i="10"/>
  <c r="M79" i="10" s="1"/>
  <c r="M7" i="10" s="1"/>
  <c r="M87" i="10"/>
  <c r="L77" i="10"/>
  <c r="L79" i="10" s="1"/>
  <c r="L7" i="10" s="1"/>
  <c r="K87" i="10"/>
  <c r="K77" i="10"/>
  <c r="K79" i="10" s="1"/>
  <c r="J87" i="10"/>
  <c r="J77" i="10"/>
  <c r="J79" i="10" s="1"/>
  <c r="J80" i="10" s="1"/>
  <c r="I87" i="10"/>
  <c r="I88" i="10" s="1"/>
  <c r="I77" i="10"/>
  <c r="I79" i="10" s="1"/>
  <c r="AA235" i="10" s="1"/>
  <c r="G5" i="10"/>
  <c r="H87" i="10"/>
  <c r="H88" i="10" s="1"/>
  <c r="H77" i="10"/>
  <c r="H79" i="10" s="1"/>
  <c r="H7" i="10" s="1"/>
  <c r="G87" i="10"/>
  <c r="G88" i="10" s="1"/>
  <c r="F5" i="10"/>
  <c r="G77" i="10"/>
  <c r="G79" i="10" s="1"/>
  <c r="G80" i="10" s="1"/>
  <c r="F87" i="10"/>
  <c r="F88" i="10" s="1"/>
  <c r="E5" i="10"/>
  <c r="F77" i="10"/>
  <c r="F79" i="10" s="1"/>
  <c r="F7" i="10" s="1"/>
  <c r="AH82" i="10"/>
  <c r="E87" i="10"/>
  <c r="E77" i="10"/>
  <c r="E79" i="10" s="1"/>
  <c r="E7" i="10" s="1"/>
  <c r="AI83" i="10"/>
  <c r="AH84" i="10"/>
  <c r="AI84" i="10"/>
  <c r="D87" i="10"/>
  <c r="AI85" i="10"/>
  <c r="AH42" i="10"/>
  <c r="D77" i="10"/>
  <c r="D79" i="10" s="1"/>
  <c r="D80" i="10" s="1"/>
  <c r="AI81" i="10"/>
  <c r="AI82" i="10"/>
  <c r="C77" i="10"/>
  <c r="C79" i="10" s="1"/>
  <c r="C7" i="10" s="1"/>
  <c r="AI60" i="10"/>
  <c r="AI56" i="10"/>
  <c r="B77" i="10"/>
  <c r="B87" i="10"/>
  <c r="H4" i="10"/>
  <c r="Q80" i="10"/>
  <c r="AI235" i="10"/>
  <c r="Q7" i="10"/>
  <c r="B79" i="10"/>
  <c r="AB235" i="10"/>
  <c r="J7" i="10"/>
  <c r="R80" i="10"/>
  <c r="AJ235" i="10"/>
  <c r="R7" i="10"/>
  <c r="Z80" i="10"/>
  <c r="C80" i="10"/>
  <c r="U235" i="10"/>
  <c r="K80" i="10"/>
  <c r="AC235" i="10"/>
  <c r="K7" i="10"/>
  <c r="S80" i="10"/>
  <c r="AK235" i="10"/>
  <c r="S7" i="10"/>
  <c r="AA80" i="10"/>
  <c r="AS235" i="10"/>
  <c r="AA7" i="10"/>
  <c r="L80" i="10"/>
  <c r="AD235" i="10"/>
  <c r="H215" i="10"/>
  <c r="G98" i="10"/>
  <c r="W235" i="10"/>
  <c r="AE235" i="10"/>
  <c r="AM235" i="10"/>
  <c r="U7" i="10"/>
  <c r="U80" i="10"/>
  <c r="AU235" i="10"/>
  <c r="AC7" i="10"/>
  <c r="AC80" i="10"/>
  <c r="Y80" i="10"/>
  <c r="AQ235" i="10"/>
  <c r="Y7" i="10"/>
  <c r="AB80" i="10"/>
  <c r="AB7" i="10"/>
  <c r="AT235" i="10"/>
  <c r="F80" i="10"/>
  <c r="AF235" i="10"/>
  <c r="N7" i="10"/>
  <c r="N80" i="10"/>
  <c r="AN235" i="10"/>
  <c r="V7" i="10"/>
  <c r="V80" i="10"/>
  <c r="AV235" i="10"/>
  <c r="AD7" i="10"/>
  <c r="AD80" i="10"/>
  <c r="C88" i="10"/>
  <c r="K88" i="10"/>
  <c r="S88" i="10"/>
  <c r="AA88" i="10"/>
  <c r="AG235" i="10"/>
  <c r="AE80" i="10"/>
  <c r="D88" i="10"/>
  <c r="L88" i="10"/>
  <c r="T88" i="10"/>
  <c r="AB88" i="10"/>
  <c r="T80" i="10"/>
  <c r="AL235" i="10"/>
  <c r="T7" i="10"/>
  <c r="Y235" i="10"/>
  <c r="G7" i="10"/>
  <c r="H80" i="10"/>
  <c r="Z235" i="10"/>
  <c r="P80" i="10"/>
  <c r="AH235" i="10"/>
  <c r="P7" i="10"/>
  <c r="X80" i="10"/>
  <c r="AP235" i="10"/>
  <c r="X7" i="10"/>
  <c r="AF80" i="10"/>
  <c r="AX235" i="10"/>
  <c r="AF7" i="10"/>
  <c r="E88" i="10"/>
  <c r="M88" i="10"/>
  <c r="U88" i="10"/>
  <c r="AC88" i="10"/>
  <c r="AH72" i="10"/>
  <c r="AI38" i="10"/>
  <c r="AI42" i="10"/>
  <c r="AH85" i="10"/>
  <c r="B98" i="10"/>
  <c r="D232" i="10"/>
  <c r="AH56" i="10"/>
  <c r="AH60" i="10"/>
  <c r="AH81" i="10"/>
  <c r="AH87" i="10"/>
  <c r="AI72" i="10"/>
  <c r="B88" i="10"/>
  <c r="J88" i="10"/>
  <c r="R88" i="10"/>
  <c r="Z88" i="10"/>
  <c r="E218" i="10"/>
  <c r="F218" i="10" s="1"/>
  <c r="G218" i="10" s="1"/>
  <c r="H218" i="10" s="1"/>
  <c r="I218" i="10" s="1"/>
  <c r="J218" i="10" s="1"/>
  <c r="K218" i="10" s="1"/>
  <c r="L218" i="10" s="1"/>
  <c r="M218" i="10" s="1"/>
  <c r="N218" i="10" s="1"/>
  <c r="O218" i="10" s="1"/>
  <c r="P218" i="10" s="1"/>
  <c r="I220" i="10"/>
  <c r="AH83" i="10"/>
  <c r="AH38" i="10"/>
  <c r="T100" i="9"/>
  <c r="S100" i="9"/>
  <c r="Q100" i="9"/>
  <c r="Q99" i="9"/>
  <c r="AE80" i="11" l="1"/>
  <c r="Z80" i="11"/>
  <c r="Z7" i="11"/>
  <c r="U88" i="11"/>
  <c r="T80" i="11"/>
  <c r="AJ235" i="11"/>
  <c r="M80" i="11"/>
  <c r="M88" i="11"/>
  <c r="K80" i="11"/>
  <c r="K7" i="11"/>
  <c r="J80" i="11"/>
  <c r="I7" i="11"/>
  <c r="C230" i="11"/>
  <c r="F7" i="11"/>
  <c r="B230" i="11"/>
  <c r="W235" i="11"/>
  <c r="E80" i="11"/>
  <c r="U235" i="11"/>
  <c r="AI77" i="11"/>
  <c r="E88" i="11"/>
  <c r="AI87" i="11"/>
  <c r="D7" i="11"/>
  <c r="C7" i="11"/>
  <c r="B88" i="11"/>
  <c r="AH87" i="11"/>
  <c r="F256" i="11"/>
  <c r="H220" i="11"/>
  <c r="N80" i="11"/>
  <c r="L80" i="11"/>
  <c r="F80" i="11"/>
  <c r="AF80" i="11"/>
  <c r="AX235" i="11"/>
  <c r="AF7" i="11"/>
  <c r="AD88" i="11"/>
  <c r="AI88" i="11" s="1"/>
  <c r="AP235" i="11"/>
  <c r="X7" i="11"/>
  <c r="X80" i="11"/>
  <c r="V80" i="11"/>
  <c r="AB80" i="11"/>
  <c r="AI79" i="11"/>
  <c r="AH79" i="11"/>
  <c r="B7" i="11"/>
  <c r="T235" i="11"/>
  <c r="P80" i="11"/>
  <c r="AH235" i="11"/>
  <c r="P7" i="11"/>
  <c r="D80" i="11"/>
  <c r="AH77" i="11"/>
  <c r="H80" i="11"/>
  <c r="Z235" i="11"/>
  <c r="H7" i="11"/>
  <c r="G80" i="11"/>
  <c r="F215" i="11"/>
  <c r="E98" i="11"/>
  <c r="E221" i="11"/>
  <c r="AE7" i="10"/>
  <c r="AR235" i="10"/>
  <c r="W80" i="10"/>
  <c r="W7" i="10"/>
  <c r="O80" i="10"/>
  <c r="M80" i="10"/>
  <c r="I80" i="10"/>
  <c r="I7" i="10"/>
  <c r="B230" i="10"/>
  <c r="C230" i="10"/>
  <c r="AI87" i="10"/>
  <c r="X235" i="10"/>
  <c r="E80" i="10"/>
  <c r="D7" i="10"/>
  <c r="V235" i="10"/>
  <c r="AI77" i="10"/>
  <c r="AH77" i="10"/>
  <c r="E221" i="10"/>
  <c r="B80" i="10"/>
  <c r="AH79" i="10"/>
  <c r="AI79" i="10"/>
  <c r="T235" i="10"/>
  <c r="B7" i="10"/>
  <c r="A7" i="10" s="1"/>
  <c r="G221" i="10"/>
  <c r="AI88" i="10"/>
  <c r="AH88" i="10"/>
  <c r="F221" i="10"/>
  <c r="I215" i="10"/>
  <c r="H98" i="10"/>
  <c r="H221" i="10"/>
  <c r="H256" i="10"/>
  <c r="J220" i="10"/>
  <c r="AH88" i="11" l="1"/>
  <c r="K6" i="11"/>
  <c r="A7" i="11"/>
  <c r="AH80" i="11"/>
  <c r="G256" i="11"/>
  <c r="I220" i="11"/>
  <c r="F98" i="11"/>
  <c r="G215" i="11"/>
  <c r="F221" i="11"/>
  <c r="K6" i="10"/>
  <c r="AH80" i="10"/>
  <c r="K220" i="10"/>
  <c r="I256" i="10"/>
  <c r="I98" i="10"/>
  <c r="I221" i="10"/>
  <c r="J215" i="10"/>
  <c r="H215" i="11" l="1"/>
  <c r="G98" i="11"/>
  <c r="G221" i="11"/>
  <c r="H256" i="11"/>
  <c r="J220" i="11"/>
  <c r="J221" i="10"/>
  <c r="K215" i="10"/>
  <c r="J98" i="10"/>
  <c r="J256" i="10"/>
  <c r="L220" i="10"/>
  <c r="K220" i="11" l="1"/>
  <c r="I256" i="11"/>
  <c r="I215" i="11"/>
  <c r="H98" i="11"/>
  <c r="H221" i="11"/>
  <c r="K256" i="10"/>
  <c r="M220" i="10"/>
  <c r="K221" i="10"/>
  <c r="L215" i="10"/>
  <c r="K98" i="10"/>
  <c r="AK52" i="9"/>
  <c r="I98" i="11" l="1"/>
  <c r="I221" i="11"/>
  <c r="J215" i="11"/>
  <c r="J256" i="11"/>
  <c r="L220" i="11"/>
  <c r="L221" i="10"/>
  <c r="M215" i="10"/>
  <c r="L98" i="10"/>
  <c r="L256" i="10"/>
  <c r="N220" i="10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AF259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AF258" i="9"/>
  <c r="AE258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AF257" i="9"/>
  <c r="AE257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AE256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B256" i="9"/>
  <c r="S23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C221" i="9"/>
  <c r="D220" i="9"/>
  <c r="C256" i="9" s="1"/>
  <c r="B220" i="9"/>
  <c r="AF256" i="9" s="1"/>
  <c r="D219" i="9"/>
  <c r="E219" i="9" s="1"/>
  <c r="F219" i="9" s="1"/>
  <c r="G219" i="9" s="1"/>
  <c r="H219" i="9" s="1"/>
  <c r="I219" i="9" s="1"/>
  <c r="J219" i="9" s="1"/>
  <c r="K219" i="9" s="1"/>
  <c r="L219" i="9" s="1"/>
  <c r="M219" i="9" s="1"/>
  <c r="N219" i="9" s="1"/>
  <c r="O219" i="9" s="1"/>
  <c r="P219" i="9" s="1"/>
  <c r="B219" i="9"/>
  <c r="D218" i="9"/>
  <c r="E218" i="9" s="1"/>
  <c r="F218" i="9" s="1"/>
  <c r="G218" i="9" s="1"/>
  <c r="H218" i="9" s="1"/>
  <c r="I218" i="9" s="1"/>
  <c r="J218" i="9" s="1"/>
  <c r="K218" i="9" s="1"/>
  <c r="L218" i="9" s="1"/>
  <c r="M218" i="9" s="1"/>
  <c r="N218" i="9" s="1"/>
  <c r="O218" i="9" s="1"/>
  <c r="P218" i="9" s="1"/>
  <c r="B218" i="9"/>
  <c r="F217" i="9"/>
  <c r="G217" i="9" s="1"/>
  <c r="H217" i="9" s="1"/>
  <c r="I217" i="9" s="1"/>
  <c r="J217" i="9" s="1"/>
  <c r="K217" i="9" s="1"/>
  <c r="L217" i="9" s="1"/>
  <c r="M217" i="9" s="1"/>
  <c r="N217" i="9" s="1"/>
  <c r="O217" i="9" s="1"/>
  <c r="P217" i="9" s="1"/>
  <c r="E217" i="9"/>
  <c r="D217" i="9"/>
  <c r="B217" i="9"/>
  <c r="D216" i="9"/>
  <c r="D221" i="9" s="1"/>
  <c r="B216" i="9"/>
  <c r="B221" i="9" s="1"/>
  <c r="D215" i="9"/>
  <c r="E215" i="9" s="1"/>
  <c r="B215" i="9"/>
  <c r="AG213" i="9"/>
  <c r="AF213" i="9"/>
  <c r="AE213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H106" i="9"/>
  <c r="AI106" i="9" s="1"/>
  <c r="AH105" i="9"/>
  <c r="AI105" i="9" s="1"/>
  <c r="AH104" i="9"/>
  <c r="AI104" i="9" s="1"/>
  <c r="AH103" i="9"/>
  <c r="AI103" i="9" s="1"/>
  <c r="AH102" i="9"/>
  <c r="AI102" i="9" s="1"/>
  <c r="AH101" i="9"/>
  <c r="AI101" i="9" s="1"/>
  <c r="AH100" i="9"/>
  <c r="AI100" i="9" s="1"/>
  <c r="AH99" i="9"/>
  <c r="AI99" i="9" s="1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C98" i="9"/>
  <c r="AI97" i="9"/>
  <c r="AH97" i="9"/>
  <c r="AI96" i="9"/>
  <c r="AH96" i="9"/>
  <c r="AI95" i="9"/>
  <c r="AH95" i="9"/>
  <c r="AI94" i="9"/>
  <c r="AH94" i="9"/>
  <c r="AI93" i="9"/>
  <c r="AH93" i="9"/>
  <c r="AI92" i="9"/>
  <c r="AH92" i="9"/>
  <c r="AI91" i="9"/>
  <c r="AH91" i="9"/>
  <c r="AI90" i="9"/>
  <c r="AH90" i="9"/>
  <c r="AI89" i="9"/>
  <c r="AH89" i="9"/>
  <c r="AI86" i="9"/>
  <c r="AH86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AF81" i="9"/>
  <c r="AE81" i="9"/>
  <c r="AD81" i="9"/>
  <c r="AD87" i="9" s="1"/>
  <c r="AC81" i="9"/>
  <c r="AB81" i="9"/>
  <c r="AB87" i="9" s="1"/>
  <c r="AA81" i="9"/>
  <c r="Z81" i="9"/>
  <c r="Y81" i="9"/>
  <c r="Y87" i="9" s="1"/>
  <c r="X81" i="9"/>
  <c r="W81" i="9"/>
  <c r="V81" i="9"/>
  <c r="U81" i="9"/>
  <c r="U87" i="9" s="1"/>
  <c r="T81" i="9"/>
  <c r="S81" i="9"/>
  <c r="S87" i="9" s="1"/>
  <c r="R81" i="9"/>
  <c r="Q81" i="9"/>
  <c r="P81" i="9"/>
  <c r="O81" i="9"/>
  <c r="N81" i="9"/>
  <c r="M81" i="9"/>
  <c r="L81" i="9"/>
  <c r="K81" i="9"/>
  <c r="K87" i="9" s="1"/>
  <c r="J81" i="9"/>
  <c r="I81" i="9"/>
  <c r="H81" i="9"/>
  <c r="G81" i="9"/>
  <c r="F81" i="9"/>
  <c r="E81" i="9"/>
  <c r="E87" i="9" s="1"/>
  <c r="D81" i="9"/>
  <c r="C81" i="9"/>
  <c r="AI78" i="9"/>
  <c r="AH78" i="9"/>
  <c r="AI76" i="9"/>
  <c r="AH76" i="9"/>
  <c r="AG76" i="9"/>
  <c r="AG79" i="9" s="1"/>
  <c r="AI75" i="9"/>
  <c r="AH75" i="9"/>
  <c r="AI74" i="9"/>
  <c r="AH74" i="9"/>
  <c r="AI73" i="9"/>
  <c r="AH73" i="9"/>
  <c r="AG72" i="9"/>
  <c r="AF72" i="9"/>
  <c r="AE72" i="9"/>
  <c r="AD72" i="9"/>
  <c r="AC5" i="9" s="1"/>
  <c r="AC72" i="9"/>
  <c r="AB5" i="9" s="1"/>
  <c r="AB72" i="9"/>
  <c r="AA5" i="9" s="1"/>
  <c r="AA72" i="9"/>
  <c r="Z72" i="9"/>
  <c r="Y72" i="9"/>
  <c r="X72" i="9"/>
  <c r="W72" i="9"/>
  <c r="V72" i="9"/>
  <c r="U5" i="9" s="1"/>
  <c r="U72" i="9"/>
  <c r="T72" i="9"/>
  <c r="S72" i="9"/>
  <c r="R5" i="9" s="1"/>
  <c r="R72" i="9"/>
  <c r="Q5" i="9" s="1"/>
  <c r="Q72" i="9"/>
  <c r="P72" i="9"/>
  <c r="O72" i="9"/>
  <c r="N72" i="9"/>
  <c r="M5" i="9" s="1"/>
  <c r="M72" i="9"/>
  <c r="L5" i="9" s="1"/>
  <c r="L72" i="9"/>
  <c r="K5" i="9" s="1"/>
  <c r="K72" i="9"/>
  <c r="K88" i="9" s="1"/>
  <c r="J72" i="9"/>
  <c r="I5" i="9" s="1"/>
  <c r="I72" i="9"/>
  <c r="H72" i="9"/>
  <c r="G72" i="9"/>
  <c r="F5" i="9" s="1"/>
  <c r="F72" i="9"/>
  <c r="E5" i="9" s="1"/>
  <c r="E72" i="9"/>
  <c r="D5" i="9" s="1"/>
  <c r="D72" i="9"/>
  <c r="C5" i="9" s="1"/>
  <c r="C72" i="9"/>
  <c r="B5" i="9" s="1"/>
  <c r="AI71" i="9"/>
  <c r="AH71" i="9"/>
  <c r="AI70" i="9"/>
  <c r="AH70" i="9"/>
  <c r="AI69" i="9"/>
  <c r="AH69" i="9"/>
  <c r="AI68" i="9"/>
  <c r="AH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AI59" i="9"/>
  <c r="AH59" i="9"/>
  <c r="AI58" i="9"/>
  <c r="AH58" i="9"/>
  <c r="AI57" i="9"/>
  <c r="AH57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I55" i="9"/>
  <c r="AH55" i="9"/>
  <c r="AG55" i="9"/>
  <c r="AG56" i="9" s="1"/>
  <c r="AG3" i="9" s="1"/>
  <c r="AG6" i="9" s="1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AH41" i="9"/>
  <c r="AI40" i="9"/>
  <c r="AH40" i="9"/>
  <c r="AI39" i="9"/>
  <c r="AH39" i="9"/>
  <c r="AG38" i="9"/>
  <c r="AG77" i="9" s="1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F5" i="9"/>
  <c r="AD5" i="9"/>
  <c r="Z5" i="9"/>
  <c r="V5" i="9"/>
  <c r="T5" i="9"/>
  <c r="N5" i="9"/>
  <c r="H5" i="9"/>
  <c r="G5" i="9"/>
  <c r="AG4" i="9"/>
  <c r="K4" i="9"/>
  <c r="B4" i="9"/>
  <c r="D232" i="9" s="1"/>
  <c r="AG2" i="9"/>
  <c r="Z99" i="8"/>
  <c r="W99" i="8"/>
  <c r="V99" i="8"/>
  <c r="U99" i="8"/>
  <c r="T99" i="8"/>
  <c r="Q100" i="8"/>
  <c r="Q99" i="8"/>
  <c r="E4" i="9"/>
  <c r="M220" i="11" l="1"/>
  <c r="K256" i="11"/>
  <c r="J221" i="11"/>
  <c r="K215" i="11"/>
  <c r="J98" i="11"/>
  <c r="O220" i="10"/>
  <c r="M256" i="10"/>
  <c r="N215" i="10"/>
  <c r="M98" i="10"/>
  <c r="M221" i="10"/>
  <c r="AF87" i="9"/>
  <c r="AF88" i="9" s="1"/>
  <c r="AE5" i="9"/>
  <c r="AF77" i="9"/>
  <c r="AF79" i="9" s="1"/>
  <c r="AX235" i="9" s="1"/>
  <c r="AE87" i="9"/>
  <c r="AE77" i="9"/>
  <c r="AE79" i="9" s="1"/>
  <c r="AC77" i="9"/>
  <c r="AC79" i="9" s="1"/>
  <c r="AD77" i="9"/>
  <c r="AD79" i="9" s="1"/>
  <c r="AC87" i="9"/>
  <c r="AC88" i="9" s="1"/>
  <c r="AB88" i="9"/>
  <c r="AB77" i="9"/>
  <c r="AB79" i="9" s="1"/>
  <c r="AB80" i="9" s="1"/>
  <c r="AA87" i="9"/>
  <c r="AA88" i="9" s="1"/>
  <c r="AA77" i="9"/>
  <c r="AA79" i="9" s="1"/>
  <c r="Z87" i="9"/>
  <c r="Z88" i="9"/>
  <c r="Y5" i="9"/>
  <c r="Z77" i="9"/>
  <c r="Z79" i="9" s="1"/>
  <c r="Y88" i="9"/>
  <c r="X5" i="9"/>
  <c r="Y77" i="9"/>
  <c r="Y79" i="9" s="1"/>
  <c r="AQ235" i="9" s="1"/>
  <c r="X87" i="9"/>
  <c r="X88" i="9" s="1"/>
  <c r="W5" i="9"/>
  <c r="X77" i="9"/>
  <c r="X79" i="9" s="1"/>
  <c r="X80" i="9" s="1"/>
  <c r="W87" i="9"/>
  <c r="W77" i="9"/>
  <c r="W79" i="9" s="1"/>
  <c r="V87" i="9"/>
  <c r="V77" i="9"/>
  <c r="V79" i="9" s="1"/>
  <c r="AN235" i="9" s="1"/>
  <c r="U88" i="9"/>
  <c r="U77" i="9"/>
  <c r="U79" i="9" s="1"/>
  <c r="U7" i="9" s="1"/>
  <c r="T87" i="9"/>
  <c r="T88" i="9" s="1"/>
  <c r="S5" i="9"/>
  <c r="T77" i="9"/>
  <c r="T79" i="9" s="1"/>
  <c r="T80" i="9" s="1"/>
  <c r="S88" i="9"/>
  <c r="S77" i="9"/>
  <c r="S79" i="9" s="1"/>
  <c r="S80" i="9" s="1"/>
  <c r="R87" i="9"/>
  <c r="R88" i="9" s="1"/>
  <c r="R77" i="9"/>
  <c r="R79" i="9" s="1"/>
  <c r="R7" i="9" s="1"/>
  <c r="Q87" i="9"/>
  <c r="Q88" i="9" s="1"/>
  <c r="P5" i="9"/>
  <c r="Q77" i="9"/>
  <c r="Q79" i="9" s="1"/>
  <c r="Q7" i="9" s="1"/>
  <c r="P87" i="9"/>
  <c r="P88" i="9" s="1"/>
  <c r="O5" i="9"/>
  <c r="P77" i="9"/>
  <c r="P79" i="9" s="1"/>
  <c r="AH235" i="9" s="1"/>
  <c r="O87" i="9"/>
  <c r="AI60" i="9"/>
  <c r="O77" i="9"/>
  <c r="O79" i="9" s="1"/>
  <c r="AG235" i="9" s="1"/>
  <c r="N87" i="9"/>
  <c r="N77" i="9"/>
  <c r="N79" i="9" s="1"/>
  <c r="M87" i="9"/>
  <c r="M88" i="9" s="1"/>
  <c r="M77" i="9"/>
  <c r="M79" i="9" s="1"/>
  <c r="M80" i="9" s="1"/>
  <c r="L87" i="9"/>
  <c r="L88" i="9" s="1"/>
  <c r="L77" i="9"/>
  <c r="L79" i="9" s="1"/>
  <c r="AD235" i="9" s="1"/>
  <c r="J5" i="9"/>
  <c r="K77" i="9"/>
  <c r="K79" i="9" s="1"/>
  <c r="K7" i="9" s="1"/>
  <c r="J87" i="9"/>
  <c r="J88" i="9" s="1"/>
  <c r="J77" i="9"/>
  <c r="J79" i="9" s="1"/>
  <c r="J7" i="9" s="1"/>
  <c r="I87" i="9"/>
  <c r="I88" i="9" s="1"/>
  <c r="I77" i="9"/>
  <c r="I79" i="9" s="1"/>
  <c r="AA235" i="9" s="1"/>
  <c r="H87" i="9"/>
  <c r="H88" i="9" s="1"/>
  <c r="H77" i="9"/>
  <c r="H79" i="9" s="1"/>
  <c r="H80" i="9" s="1"/>
  <c r="G87" i="9"/>
  <c r="G77" i="9"/>
  <c r="G79" i="9" s="1"/>
  <c r="G7" i="9" s="1"/>
  <c r="AI42" i="9"/>
  <c r="AH42" i="9"/>
  <c r="F77" i="9"/>
  <c r="F79" i="9" s="1"/>
  <c r="F87" i="9"/>
  <c r="AI85" i="9"/>
  <c r="AI81" i="9"/>
  <c r="AH82" i="9"/>
  <c r="E88" i="9"/>
  <c r="E77" i="9"/>
  <c r="E79" i="9" s="1"/>
  <c r="AI83" i="9"/>
  <c r="AH84" i="9"/>
  <c r="D77" i="9"/>
  <c r="D79" i="9" s="1"/>
  <c r="D7" i="9" s="1"/>
  <c r="AH85" i="9"/>
  <c r="D87" i="9"/>
  <c r="D88" i="9" s="1"/>
  <c r="AI56" i="9"/>
  <c r="AI82" i="9"/>
  <c r="C87" i="9"/>
  <c r="C88" i="9" s="1"/>
  <c r="C77" i="9"/>
  <c r="C79" i="9" s="1"/>
  <c r="U235" i="9" s="1"/>
  <c r="H4" i="9"/>
  <c r="AC80" i="9"/>
  <c r="AU235" i="9"/>
  <c r="AC7" i="9"/>
  <c r="AF235" i="9"/>
  <c r="N7" i="9"/>
  <c r="N80" i="9"/>
  <c r="V7" i="9"/>
  <c r="AV235" i="9"/>
  <c r="AD7" i="9"/>
  <c r="AD80" i="9"/>
  <c r="AE235" i="9"/>
  <c r="M7" i="9"/>
  <c r="AO235" i="9"/>
  <c r="W7" i="9"/>
  <c r="W80" i="9"/>
  <c r="AW235" i="9"/>
  <c r="AE7" i="9"/>
  <c r="AE80" i="9"/>
  <c r="X235" i="9"/>
  <c r="F7" i="9"/>
  <c r="F80" i="9"/>
  <c r="AI235" i="9"/>
  <c r="AB7" i="9"/>
  <c r="I80" i="9"/>
  <c r="I7" i="9"/>
  <c r="J80" i="9"/>
  <c r="AB235" i="9"/>
  <c r="R80" i="9"/>
  <c r="AJ235" i="9"/>
  <c r="Z80" i="9"/>
  <c r="AR235" i="9"/>
  <c r="Z7" i="9"/>
  <c r="L80" i="9"/>
  <c r="W235" i="9"/>
  <c r="E7" i="9"/>
  <c r="E80" i="9"/>
  <c r="AA80" i="9"/>
  <c r="AS235" i="9"/>
  <c r="AA7" i="9"/>
  <c r="G88" i="9"/>
  <c r="O88" i="9"/>
  <c r="W88" i="9"/>
  <c r="AE88" i="9"/>
  <c r="F215" i="9"/>
  <c r="E98" i="9"/>
  <c r="AI38" i="9"/>
  <c r="F88" i="9"/>
  <c r="N88" i="9"/>
  <c r="V88" i="9"/>
  <c r="AD88" i="9"/>
  <c r="E216" i="9"/>
  <c r="F216" i="9" s="1"/>
  <c r="G216" i="9" s="1"/>
  <c r="H216" i="9" s="1"/>
  <c r="I216" i="9" s="1"/>
  <c r="J216" i="9" s="1"/>
  <c r="K216" i="9" s="1"/>
  <c r="L216" i="9" s="1"/>
  <c r="M216" i="9" s="1"/>
  <c r="N216" i="9" s="1"/>
  <c r="O216" i="9" s="1"/>
  <c r="P216" i="9" s="1"/>
  <c r="E220" i="9"/>
  <c r="S232" i="9"/>
  <c r="D98" i="9"/>
  <c r="AH56" i="9"/>
  <c r="AH60" i="9"/>
  <c r="AH72" i="9"/>
  <c r="AH81" i="9"/>
  <c r="AI72" i="9"/>
  <c r="AI84" i="9"/>
  <c r="AH83" i="9"/>
  <c r="AH38" i="9"/>
  <c r="K221" i="11" l="1"/>
  <c r="K98" i="11"/>
  <c r="L215" i="11"/>
  <c r="L256" i="11"/>
  <c r="N220" i="11"/>
  <c r="AF7" i="9"/>
  <c r="O215" i="10"/>
  <c r="N98" i="10"/>
  <c r="N221" i="10"/>
  <c r="P220" i="10"/>
  <c r="O256" i="10" s="1"/>
  <c r="N256" i="10"/>
  <c r="AF80" i="9"/>
  <c r="AT235" i="9"/>
  <c r="Y7" i="9"/>
  <c r="Y80" i="9"/>
  <c r="V80" i="9"/>
  <c r="AK235" i="9"/>
  <c r="X7" i="9"/>
  <c r="AP235" i="9"/>
  <c r="U80" i="9"/>
  <c r="AM235" i="9"/>
  <c r="T7" i="9"/>
  <c r="AL235" i="9"/>
  <c r="S7" i="9"/>
  <c r="Q80" i="9"/>
  <c r="P80" i="9"/>
  <c r="P7" i="9"/>
  <c r="O80" i="9"/>
  <c r="O7" i="9"/>
  <c r="L7" i="9"/>
  <c r="AC235" i="9"/>
  <c r="K80" i="9"/>
  <c r="H7" i="9"/>
  <c r="B230" i="9"/>
  <c r="Z235" i="9"/>
  <c r="C230" i="9"/>
  <c r="Y235" i="9"/>
  <c r="G80" i="9"/>
  <c r="C80" i="9"/>
  <c r="AH77" i="9"/>
  <c r="D80" i="9"/>
  <c r="AI77" i="9"/>
  <c r="V235" i="9"/>
  <c r="C7" i="9"/>
  <c r="D256" i="9"/>
  <c r="F220" i="9"/>
  <c r="E221" i="9"/>
  <c r="AI87" i="9"/>
  <c r="AH87" i="9"/>
  <c r="G215" i="9"/>
  <c r="F98" i="9"/>
  <c r="F221" i="9"/>
  <c r="AI79" i="9"/>
  <c r="AH79" i="9"/>
  <c r="T235" i="9"/>
  <c r="B7" i="9"/>
  <c r="M256" i="11" l="1"/>
  <c r="O220" i="11"/>
  <c r="L221" i="11"/>
  <c r="M215" i="11"/>
  <c r="L98" i="11"/>
  <c r="P215" i="10"/>
  <c r="O98" i="10"/>
  <c r="O221" i="10"/>
  <c r="AH80" i="9"/>
  <c r="K6" i="9"/>
  <c r="A7" i="9"/>
  <c r="H215" i="9"/>
  <c r="E256" i="9"/>
  <c r="G220" i="9"/>
  <c r="G221" i="9" s="1"/>
  <c r="AI88" i="9"/>
  <c r="AH88" i="9"/>
  <c r="N215" i="11" l="1"/>
  <c r="M98" i="11"/>
  <c r="M221" i="11"/>
  <c r="P220" i="11"/>
  <c r="O256" i="11" s="1"/>
  <c r="N256" i="11"/>
  <c r="P98" i="10"/>
  <c r="P221" i="10"/>
  <c r="F256" i="9"/>
  <c r="H220" i="9"/>
  <c r="G98" i="9"/>
  <c r="I215" i="9"/>
  <c r="H98" i="9"/>
  <c r="H221" i="9"/>
  <c r="O215" i="11" l="1"/>
  <c r="N98" i="11"/>
  <c r="N221" i="11"/>
  <c r="AI98" i="10"/>
  <c r="AH98" i="10"/>
  <c r="J215" i="9"/>
  <c r="G256" i="9"/>
  <c r="I220" i="9"/>
  <c r="I221" i="9" s="1"/>
  <c r="P215" i="11" l="1"/>
  <c r="O98" i="11"/>
  <c r="O221" i="11"/>
  <c r="K215" i="9"/>
  <c r="H256" i="9"/>
  <c r="J220" i="9"/>
  <c r="I98" i="9"/>
  <c r="P98" i="11" l="1"/>
  <c r="P221" i="11"/>
  <c r="K220" i="9"/>
  <c r="I256" i="9"/>
  <c r="K221" i="9"/>
  <c r="L215" i="9"/>
  <c r="K98" i="9"/>
  <c r="J98" i="9"/>
  <c r="J221" i="9"/>
  <c r="AH98" i="11" l="1"/>
  <c r="AI98" i="11"/>
  <c r="M215" i="9"/>
  <c r="L220" i="9"/>
  <c r="J256" i="9"/>
  <c r="K256" i="9" l="1"/>
  <c r="M220" i="9"/>
  <c r="L98" i="9"/>
  <c r="M221" i="9"/>
  <c r="N215" i="9"/>
  <c r="M98" i="9"/>
  <c r="L221" i="9"/>
  <c r="O215" i="9" l="1"/>
  <c r="N98" i="9"/>
  <c r="L256" i="9"/>
  <c r="N220" i="9"/>
  <c r="M256" i="9" l="1"/>
  <c r="O220" i="9"/>
  <c r="N221" i="9"/>
  <c r="P215" i="9"/>
  <c r="O98" i="9"/>
  <c r="O221" i="9"/>
  <c r="P98" i="9" l="1"/>
  <c r="N256" i="9"/>
  <c r="P220" i="9"/>
  <c r="O256" i="9" s="1"/>
  <c r="P221" i="9" l="1"/>
  <c r="AH98" i="9"/>
  <c r="AI98" i="9"/>
  <c r="L100" i="8" l="1"/>
  <c r="K100" i="8"/>
  <c r="H100" i="8"/>
  <c r="G100" i="8"/>
  <c r="F100" i="8"/>
  <c r="E100" i="8" l="1"/>
  <c r="D100" i="8"/>
  <c r="D98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260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B259" i="8"/>
  <c r="A259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B258" i="8"/>
  <c r="A258" i="8"/>
  <c r="AF257" i="8"/>
  <c r="AE257" i="8"/>
  <c r="AD257" i="8"/>
  <c r="AC257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B257" i="8"/>
  <c r="A257" i="8"/>
  <c r="AE256" i="8"/>
  <c r="AD256" i="8"/>
  <c r="AC256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E256" i="8"/>
  <c r="D256" i="8"/>
  <c r="C256" i="8"/>
  <c r="B256" i="8"/>
  <c r="S231" i="8"/>
  <c r="AG221" i="8"/>
  <c r="AG55" i="8" s="1"/>
  <c r="AG56" i="8" s="1"/>
  <c r="AG3" i="8" s="1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C221" i="8"/>
  <c r="F220" i="8"/>
  <c r="G220" i="8" s="1"/>
  <c r="E220" i="8"/>
  <c r="D220" i="8"/>
  <c r="B220" i="8"/>
  <c r="AF256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B219" i="8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B218" i="8"/>
  <c r="E217" i="8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D217" i="8"/>
  <c r="B217" i="8"/>
  <c r="F216" i="8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E216" i="8"/>
  <c r="D216" i="8"/>
  <c r="B216" i="8"/>
  <c r="D215" i="8"/>
  <c r="D221" i="8" s="1"/>
  <c r="B215" i="8"/>
  <c r="B221" i="8" s="1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B213" i="8"/>
  <c r="AH106" i="8"/>
  <c r="AI106" i="8" s="1"/>
  <c r="AH105" i="8"/>
  <c r="AI105" i="8" s="1"/>
  <c r="AH104" i="8"/>
  <c r="AI104" i="8" s="1"/>
  <c r="AH103" i="8"/>
  <c r="AI103" i="8" s="1"/>
  <c r="AH102" i="8"/>
  <c r="AI102" i="8" s="1"/>
  <c r="AH101" i="8"/>
  <c r="AI101" i="8" s="1"/>
  <c r="AH99" i="8"/>
  <c r="AI99" i="8" s="1"/>
  <c r="AF98" i="8"/>
  <c r="AE98" i="8"/>
  <c r="AD98" i="8"/>
  <c r="AC98" i="8"/>
  <c r="AB98" i="8"/>
  <c r="Z98" i="8"/>
  <c r="Y98" i="8"/>
  <c r="X98" i="8"/>
  <c r="W98" i="8"/>
  <c r="V98" i="8"/>
  <c r="U98" i="8"/>
  <c r="T98" i="8"/>
  <c r="S98" i="8"/>
  <c r="R98" i="8"/>
  <c r="Q98" i="8"/>
  <c r="C98" i="8"/>
  <c r="AI97" i="8"/>
  <c r="AH97" i="8"/>
  <c r="AI96" i="8"/>
  <c r="AH96" i="8"/>
  <c r="AI95" i="8"/>
  <c r="AH95" i="8"/>
  <c r="AI94" i="8"/>
  <c r="AH94" i="8"/>
  <c r="AI93" i="8"/>
  <c r="AH93" i="8"/>
  <c r="AI92" i="8"/>
  <c r="AH92" i="8"/>
  <c r="AI91" i="8"/>
  <c r="AH91" i="8"/>
  <c r="AI90" i="8"/>
  <c r="AH90" i="8"/>
  <c r="AI89" i="8"/>
  <c r="AH89" i="8"/>
  <c r="J87" i="8"/>
  <c r="AI86" i="8"/>
  <c r="AH86" i="8"/>
  <c r="AF85" i="8"/>
  <c r="AE85" i="8"/>
  <c r="AD85" i="8"/>
  <c r="AC85" i="8"/>
  <c r="AB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F84" i="8"/>
  <c r="AE84" i="8"/>
  <c r="AD84" i="8"/>
  <c r="AC84" i="8"/>
  <c r="AB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F83" i="8"/>
  <c r="AE83" i="8"/>
  <c r="AD83" i="8"/>
  <c r="AC83" i="8"/>
  <c r="AB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F82" i="8"/>
  <c r="AE82" i="8"/>
  <c r="AD82" i="8"/>
  <c r="AC82" i="8"/>
  <c r="AB82" i="8"/>
  <c r="Z82" i="8"/>
  <c r="Y82" i="8"/>
  <c r="X82" i="8"/>
  <c r="W82" i="8"/>
  <c r="V82" i="8"/>
  <c r="U82" i="8"/>
  <c r="U87" i="8" s="1"/>
  <c r="T82" i="8"/>
  <c r="S82" i="8"/>
  <c r="R82" i="8"/>
  <c r="Q82" i="8"/>
  <c r="P82" i="8"/>
  <c r="O82" i="8"/>
  <c r="N82" i="8"/>
  <c r="M82" i="8"/>
  <c r="M87" i="8" s="1"/>
  <c r="L82" i="8"/>
  <c r="K82" i="8"/>
  <c r="J82" i="8"/>
  <c r="I82" i="8"/>
  <c r="H82" i="8"/>
  <c r="G82" i="8"/>
  <c r="F82" i="8"/>
  <c r="E82" i="8"/>
  <c r="D82" i="8"/>
  <c r="C82" i="8"/>
  <c r="AF81" i="8"/>
  <c r="AE81" i="8"/>
  <c r="AD81" i="8"/>
  <c r="AC81" i="8"/>
  <c r="AB81" i="8"/>
  <c r="AB87" i="8" s="1"/>
  <c r="Z81" i="8"/>
  <c r="Z87" i="8" s="1"/>
  <c r="Y81" i="8"/>
  <c r="X81" i="8"/>
  <c r="W81" i="8"/>
  <c r="V81" i="8"/>
  <c r="U81" i="8"/>
  <c r="T81" i="8"/>
  <c r="S81" i="8"/>
  <c r="S87" i="8" s="1"/>
  <c r="R81" i="8"/>
  <c r="Q81" i="8"/>
  <c r="P81" i="8"/>
  <c r="O81" i="8"/>
  <c r="N81" i="8"/>
  <c r="M81" i="8"/>
  <c r="L81" i="8"/>
  <c r="L87" i="8" s="1"/>
  <c r="K81" i="8"/>
  <c r="J81" i="8"/>
  <c r="I81" i="8"/>
  <c r="H81" i="8"/>
  <c r="G81" i="8"/>
  <c r="F81" i="8"/>
  <c r="E81" i="8"/>
  <c r="D81" i="8"/>
  <c r="C81" i="8"/>
  <c r="AI78" i="8"/>
  <c r="AH78" i="8"/>
  <c r="AI76" i="8"/>
  <c r="AH76" i="8"/>
  <c r="AG76" i="8"/>
  <c r="AG79" i="8" s="1"/>
  <c r="AI75" i="8"/>
  <c r="AH75" i="8"/>
  <c r="AI74" i="8"/>
  <c r="AH74" i="8"/>
  <c r="AI73" i="8"/>
  <c r="AH73" i="8"/>
  <c r="AG72" i="8"/>
  <c r="AF72" i="8"/>
  <c r="AE5" i="8" s="1"/>
  <c r="AE72" i="8"/>
  <c r="AD5" i="8" s="1"/>
  <c r="AD72" i="8"/>
  <c r="AC5" i="8" s="1"/>
  <c r="AC72" i="8"/>
  <c r="AB5" i="8" s="1"/>
  <c r="AB72" i="8"/>
  <c r="AA5" i="8" s="1"/>
  <c r="Z72" i="8"/>
  <c r="Y72" i="8"/>
  <c r="X5" i="8" s="1"/>
  <c r="X72" i="8"/>
  <c r="W5" i="8" s="1"/>
  <c r="W72" i="8"/>
  <c r="V5" i="8" s="1"/>
  <c r="V72" i="8"/>
  <c r="U5" i="8" s="1"/>
  <c r="U72" i="8"/>
  <c r="T5" i="8" s="1"/>
  <c r="T72" i="8"/>
  <c r="S5" i="8" s="1"/>
  <c r="S72" i="8"/>
  <c r="R72" i="8"/>
  <c r="Q5" i="8" s="1"/>
  <c r="Q72" i="8"/>
  <c r="P5" i="8" s="1"/>
  <c r="P72" i="8"/>
  <c r="O5" i="8" s="1"/>
  <c r="O72" i="8"/>
  <c r="N5" i="8" s="1"/>
  <c r="N72" i="8"/>
  <c r="M5" i="8" s="1"/>
  <c r="M72" i="8"/>
  <c r="L5" i="8" s="1"/>
  <c r="L72" i="8"/>
  <c r="K5" i="8" s="1"/>
  <c r="K72" i="8"/>
  <c r="J72" i="8"/>
  <c r="I72" i="8"/>
  <c r="H5" i="8" s="1"/>
  <c r="H72" i="8"/>
  <c r="G5" i="8" s="1"/>
  <c r="G72" i="8"/>
  <c r="F5" i="8" s="1"/>
  <c r="F72" i="8"/>
  <c r="E5" i="8" s="1"/>
  <c r="E72" i="8"/>
  <c r="D5" i="8" s="1"/>
  <c r="D72" i="8"/>
  <c r="C5" i="8" s="1"/>
  <c r="C72" i="8"/>
  <c r="AI71" i="8"/>
  <c r="AH71" i="8"/>
  <c r="AI70" i="8"/>
  <c r="AH70" i="8"/>
  <c r="AI69" i="8"/>
  <c r="AH69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G60" i="8"/>
  <c r="AF60" i="8"/>
  <c r="AE60" i="8"/>
  <c r="AD60" i="8"/>
  <c r="AC60" i="8"/>
  <c r="AB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I59" i="8"/>
  <c r="AH59" i="8"/>
  <c r="AI58" i="8"/>
  <c r="AH58" i="8"/>
  <c r="AI57" i="8"/>
  <c r="AH57" i="8"/>
  <c r="AF56" i="8"/>
  <c r="AE56" i="8"/>
  <c r="AD56" i="8"/>
  <c r="AC56" i="8"/>
  <c r="AB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G42" i="8"/>
  <c r="AF42" i="8"/>
  <c r="AE42" i="8"/>
  <c r="AD42" i="8"/>
  <c r="AC42" i="8"/>
  <c r="AB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I41" i="8"/>
  <c r="AH41" i="8"/>
  <c r="AI40" i="8"/>
  <c r="AH40" i="8"/>
  <c r="AI39" i="8"/>
  <c r="AH39" i="8"/>
  <c r="AG38" i="8"/>
  <c r="AF38" i="8"/>
  <c r="AE38" i="8"/>
  <c r="AD38" i="8"/>
  <c r="AC38" i="8"/>
  <c r="AB38" i="8"/>
  <c r="Z38" i="8"/>
  <c r="Y38" i="8"/>
  <c r="X38" i="8"/>
  <c r="W38" i="8"/>
  <c r="V38" i="8"/>
  <c r="U38" i="8"/>
  <c r="T38" i="8"/>
  <c r="S38" i="8"/>
  <c r="S77" i="8" s="1"/>
  <c r="S79" i="8" s="1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Z5" i="8"/>
  <c r="R5" i="8"/>
  <c r="AG4" i="8"/>
  <c r="K4" i="8"/>
  <c r="B4" i="8"/>
  <c r="S232" i="8" s="1"/>
  <c r="AG2" i="8"/>
  <c r="AG6" i="8" s="1"/>
  <c r="AC100" i="7"/>
  <c r="E4" i="8"/>
  <c r="AF77" i="8" l="1"/>
  <c r="AF79" i="8" s="1"/>
  <c r="AF87" i="8"/>
  <c r="AE87" i="8"/>
  <c r="AE88" i="8"/>
  <c r="AE77" i="8"/>
  <c r="AE79" i="8" s="1"/>
  <c r="AW235" i="8" s="1"/>
  <c r="AD87" i="8"/>
  <c r="AD77" i="8"/>
  <c r="AD79" i="8" s="1"/>
  <c r="AC87" i="8"/>
  <c r="AC77" i="8"/>
  <c r="AC79" i="8" s="1"/>
  <c r="AB77" i="8"/>
  <c r="AB79" i="8" s="1"/>
  <c r="AT235" i="8" s="1"/>
  <c r="Z88" i="8"/>
  <c r="Z77" i="8"/>
  <c r="Z79" i="8" s="1"/>
  <c r="Y87" i="8"/>
  <c r="Y88" i="8" s="1"/>
  <c r="Y77" i="8"/>
  <c r="Y79" i="8" s="1"/>
  <c r="X87" i="8"/>
  <c r="X77" i="8"/>
  <c r="X79" i="8" s="1"/>
  <c r="X80" i="8" s="1"/>
  <c r="W87" i="8"/>
  <c r="W88" i="8"/>
  <c r="W77" i="8"/>
  <c r="W79" i="8" s="1"/>
  <c r="AO235" i="8" s="1"/>
  <c r="V87" i="8"/>
  <c r="V77" i="8"/>
  <c r="V79" i="8" s="1"/>
  <c r="U77" i="8"/>
  <c r="U79" i="8" s="1"/>
  <c r="AM235" i="8" s="1"/>
  <c r="T87" i="8"/>
  <c r="T77" i="8"/>
  <c r="T79" i="8" s="1"/>
  <c r="S88" i="8"/>
  <c r="O77" i="8"/>
  <c r="O79" i="8" s="1"/>
  <c r="AH42" i="8"/>
  <c r="AI84" i="8"/>
  <c r="R87" i="8"/>
  <c r="R88" i="8" s="1"/>
  <c r="P77" i="8"/>
  <c r="P79" i="8" s="1"/>
  <c r="P7" i="8" s="1"/>
  <c r="N77" i="8"/>
  <c r="N79" i="8" s="1"/>
  <c r="AF235" i="8" s="1"/>
  <c r="M77" i="8"/>
  <c r="M79" i="8" s="1"/>
  <c r="AE235" i="8" s="1"/>
  <c r="N87" i="8"/>
  <c r="N88" i="8" s="1"/>
  <c r="P87" i="8"/>
  <c r="O87" i="8"/>
  <c r="O88" i="8" s="1"/>
  <c r="Q77" i="8"/>
  <c r="Q79" i="8" s="1"/>
  <c r="AI60" i="8"/>
  <c r="R77" i="8"/>
  <c r="R79" i="8" s="1"/>
  <c r="AJ235" i="8" s="1"/>
  <c r="L77" i="8"/>
  <c r="L79" i="8" s="1"/>
  <c r="K87" i="8"/>
  <c r="K88" i="8"/>
  <c r="AI85" i="8"/>
  <c r="AI81" i="8"/>
  <c r="J5" i="8"/>
  <c r="K77" i="8"/>
  <c r="K79" i="8" s="1"/>
  <c r="AC235" i="8" s="1"/>
  <c r="H87" i="8"/>
  <c r="J88" i="8"/>
  <c r="I87" i="8"/>
  <c r="I88" i="8" s="1"/>
  <c r="J77" i="8"/>
  <c r="J79" i="8" s="1"/>
  <c r="J80" i="8" s="1"/>
  <c r="I77" i="8"/>
  <c r="I79" i="8" s="1"/>
  <c r="AA235" i="8" s="1"/>
  <c r="H77" i="8"/>
  <c r="H79" i="8" s="1"/>
  <c r="H80" i="8" s="1"/>
  <c r="F87" i="8"/>
  <c r="G87" i="8"/>
  <c r="G88" i="8" s="1"/>
  <c r="AI82" i="8"/>
  <c r="F77" i="8"/>
  <c r="F79" i="8" s="1"/>
  <c r="F7" i="8" s="1"/>
  <c r="G77" i="8"/>
  <c r="G79" i="8" s="1"/>
  <c r="Y235" i="8" s="1"/>
  <c r="E87" i="8"/>
  <c r="AH84" i="8"/>
  <c r="AI83" i="8"/>
  <c r="AI56" i="8"/>
  <c r="E77" i="8"/>
  <c r="E79" i="8" s="1"/>
  <c r="E80" i="8" s="1"/>
  <c r="AH100" i="8"/>
  <c r="AI100" i="8" s="1"/>
  <c r="D87" i="8"/>
  <c r="D77" i="8"/>
  <c r="D79" i="8" s="1"/>
  <c r="AH81" i="8"/>
  <c r="C87" i="8"/>
  <c r="C88" i="8"/>
  <c r="B5" i="8"/>
  <c r="AH72" i="8"/>
  <c r="C77" i="8"/>
  <c r="C79" i="8" s="1"/>
  <c r="U235" i="8" s="1"/>
  <c r="H4" i="8"/>
  <c r="S80" i="8"/>
  <c r="AK235" i="8"/>
  <c r="S7" i="8"/>
  <c r="J7" i="8"/>
  <c r="Z80" i="8"/>
  <c r="AR235" i="8"/>
  <c r="Z7" i="8"/>
  <c r="F256" i="8"/>
  <c r="H220" i="8"/>
  <c r="D80" i="8"/>
  <c r="D7" i="8"/>
  <c r="V235" i="8"/>
  <c r="L80" i="8"/>
  <c r="L7" i="8"/>
  <c r="AD235" i="8"/>
  <c r="T80" i="8"/>
  <c r="T7" i="8"/>
  <c r="AL235" i="8"/>
  <c r="AB80" i="8"/>
  <c r="U7" i="8"/>
  <c r="U80" i="8"/>
  <c r="AU235" i="8"/>
  <c r="AC7" i="8"/>
  <c r="AC80" i="8"/>
  <c r="AV235" i="8"/>
  <c r="AD7" i="8"/>
  <c r="AD80" i="8"/>
  <c r="AG235" i="8"/>
  <c r="O7" i="8"/>
  <c r="D88" i="8"/>
  <c r="L88" i="8"/>
  <c r="T88" i="8"/>
  <c r="AB88" i="8"/>
  <c r="AS235" i="8"/>
  <c r="AA7" i="8"/>
  <c r="X235" i="8"/>
  <c r="AF80" i="8"/>
  <c r="AX235" i="8"/>
  <c r="AF7" i="8"/>
  <c r="E88" i="8"/>
  <c r="M88" i="8"/>
  <c r="U88" i="8"/>
  <c r="AC88" i="8"/>
  <c r="K80" i="8"/>
  <c r="AN235" i="8"/>
  <c r="V7" i="8"/>
  <c r="V80" i="8"/>
  <c r="W80" i="8"/>
  <c r="AP235" i="8"/>
  <c r="X7" i="8"/>
  <c r="AQ235" i="8"/>
  <c r="Y7" i="8"/>
  <c r="Y80" i="8"/>
  <c r="AG77" i="8"/>
  <c r="F88" i="8"/>
  <c r="V88" i="8"/>
  <c r="AD88" i="8"/>
  <c r="I5" i="8"/>
  <c r="Y5" i="8"/>
  <c r="AI38" i="8"/>
  <c r="AI42" i="8"/>
  <c r="AH85" i="8"/>
  <c r="D232" i="8"/>
  <c r="AH56" i="8"/>
  <c r="AH60" i="8"/>
  <c r="Q87" i="8"/>
  <c r="Q88" i="8" s="1"/>
  <c r="H88" i="8"/>
  <c r="X88" i="8"/>
  <c r="AF88" i="8"/>
  <c r="E215" i="8"/>
  <c r="AI72" i="8"/>
  <c r="AH82" i="8"/>
  <c r="AF5" i="8"/>
  <c r="AH83" i="8"/>
  <c r="AH38" i="8"/>
  <c r="AB100" i="7"/>
  <c r="AE80" i="8" l="1"/>
  <c r="AE7" i="8"/>
  <c r="AB7" i="8"/>
  <c r="W7" i="8"/>
  <c r="AH235" i="8"/>
  <c r="P80" i="8"/>
  <c r="N7" i="8"/>
  <c r="N80" i="8"/>
  <c r="M80" i="8"/>
  <c r="M7" i="8"/>
  <c r="P88" i="8"/>
  <c r="AI88" i="8" s="1"/>
  <c r="Q80" i="8"/>
  <c r="Q7" i="8"/>
  <c r="R7" i="8"/>
  <c r="R80" i="8"/>
  <c r="AI235" i="8"/>
  <c r="O80" i="8"/>
  <c r="K7" i="8"/>
  <c r="I7" i="8"/>
  <c r="AB235" i="8"/>
  <c r="H7" i="8"/>
  <c r="I80" i="8"/>
  <c r="Z235" i="8"/>
  <c r="G80" i="8"/>
  <c r="B230" i="8"/>
  <c r="C230" i="8"/>
  <c r="G7" i="8"/>
  <c r="F80" i="8"/>
  <c r="E7" i="8"/>
  <c r="W235" i="8"/>
  <c r="AH77" i="8"/>
  <c r="C80" i="8"/>
  <c r="C7" i="8"/>
  <c r="AI77" i="8"/>
  <c r="AI79" i="8"/>
  <c r="AH79" i="8"/>
  <c r="T235" i="8"/>
  <c r="B7" i="8"/>
  <c r="F215" i="8"/>
  <c r="E98" i="8"/>
  <c r="E221" i="8"/>
  <c r="AH87" i="8"/>
  <c r="AI87" i="8"/>
  <c r="G256" i="8"/>
  <c r="I220" i="8"/>
  <c r="AH88" i="8" l="1"/>
  <c r="K6" i="8"/>
  <c r="AH80" i="8"/>
  <c r="A7" i="8"/>
  <c r="F98" i="8"/>
  <c r="G215" i="8"/>
  <c r="F221" i="8"/>
  <c r="H256" i="8"/>
  <c r="J220" i="8"/>
  <c r="K220" i="8" l="1"/>
  <c r="I256" i="8"/>
  <c r="H215" i="8"/>
  <c r="G98" i="8"/>
  <c r="G221" i="8"/>
  <c r="I215" i="8" l="1"/>
  <c r="H98" i="8"/>
  <c r="H221" i="8"/>
  <c r="J256" i="8"/>
  <c r="L220" i="8"/>
  <c r="K256" i="8" l="1"/>
  <c r="M220" i="8"/>
  <c r="I98" i="8"/>
  <c r="I221" i="8"/>
  <c r="J215" i="8"/>
  <c r="L256" i="8" l="1"/>
  <c r="N220" i="8"/>
  <c r="J221" i="8"/>
  <c r="K215" i="8"/>
  <c r="J98" i="8"/>
  <c r="K221" i="8" l="1"/>
  <c r="L215" i="8"/>
  <c r="K98" i="8"/>
  <c r="O220" i="8"/>
  <c r="M256" i="8"/>
  <c r="N256" i="8" l="1"/>
  <c r="P220" i="8"/>
  <c r="O256" i="8" s="1"/>
  <c r="L221" i="8"/>
  <c r="M215" i="8"/>
  <c r="L98" i="8"/>
  <c r="M99" i="7"/>
  <c r="N215" i="8" l="1"/>
  <c r="M98" i="8"/>
  <c r="M221" i="8"/>
  <c r="N98" i="8" l="1"/>
  <c r="O215" i="8"/>
  <c r="N221" i="8"/>
  <c r="P215" i="8" l="1"/>
  <c r="O98" i="8"/>
  <c r="O221" i="8"/>
  <c r="P98" i="8" l="1"/>
  <c r="P221" i="8"/>
  <c r="AH98" i="8" l="1"/>
  <c r="AI98" i="8"/>
  <c r="L100" i="7" l="1"/>
  <c r="K100" i="7"/>
  <c r="J100" i="7"/>
  <c r="I100" i="7"/>
  <c r="H100" i="7"/>
  <c r="G100" i="7"/>
  <c r="F100" i="7"/>
  <c r="F68" i="7"/>
  <c r="E100" i="7"/>
  <c r="E68" i="7"/>
  <c r="D100" i="7" l="1"/>
  <c r="D68" i="7"/>
  <c r="C68" i="7"/>
  <c r="AH68" i="7" s="1"/>
  <c r="C100" i="7"/>
  <c r="B10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B256" i="7"/>
  <c r="S23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C221" i="7"/>
  <c r="D220" i="7"/>
  <c r="E220" i="7" s="1"/>
  <c r="B220" i="7"/>
  <c r="AF256" i="7" s="1"/>
  <c r="D219" i="7"/>
  <c r="E219" i="7" s="1"/>
  <c r="F219" i="7" s="1"/>
  <c r="G219" i="7" s="1"/>
  <c r="H219" i="7" s="1"/>
  <c r="I219" i="7" s="1"/>
  <c r="J219" i="7" s="1"/>
  <c r="K219" i="7" s="1"/>
  <c r="L219" i="7" s="1"/>
  <c r="M219" i="7" s="1"/>
  <c r="N219" i="7" s="1"/>
  <c r="O219" i="7" s="1"/>
  <c r="P219" i="7" s="1"/>
  <c r="B219" i="7"/>
  <c r="D218" i="7"/>
  <c r="E218" i="7" s="1"/>
  <c r="F218" i="7" s="1"/>
  <c r="G218" i="7" s="1"/>
  <c r="H218" i="7" s="1"/>
  <c r="I218" i="7" s="1"/>
  <c r="J218" i="7" s="1"/>
  <c r="K218" i="7" s="1"/>
  <c r="L218" i="7" s="1"/>
  <c r="M218" i="7" s="1"/>
  <c r="N218" i="7" s="1"/>
  <c r="O218" i="7" s="1"/>
  <c r="P218" i="7" s="1"/>
  <c r="B218" i="7"/>
  <c r="D217" i="7"/>
  <c r="B217" i="7"/>
  <c r="D216" i="7"/>
  <c r="E216" i="7" s="1"/>
  <c r="F216" i="7" s="1"/>
  <c r="G216" i="7" s="1"/>
  <c r="H216" i="7" s="1"/>
  <c r="I216" i="7" s="1"/>
  <c r="J216" i="7" s="1"/>
  <c r="K216" i="7" s="1"/>
  <c r="L216" i="7" s="1"/>
  <c r="M216" i="7" s="1"/>
  <c r="N216" i="7" s="1"/>
  <c r="O216" i="7" s="1"/>
  <c r="P216" i="7" s="1"/>
  <c r="B216" i="7"/>
  <c r="E215" i="7"/>
  <c r="F215" i="7" s="1"/>
  <c r="D215" i="7"/>
  <c r="B215" i="7"/>
  <c r="B221" i="7" s="1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AH106" i="7"/>
  <c r="AI106" i="7" s="1"/>
  <c r="AH105" i="7"/>
  <c r="AI105" i="7" s="1"/>
  <c r="AH104" i="7"/>
  <c r="AI104" i="7" s="1"/>
  <c r="AH103" i="7"/>
  <c r="AI103" i="7" s="1"/>
  <c r="AH102" i="7"/>
  <c r="AI102" i="7" s="1"/>
  <c r="AH101" i="7"/>
  <c r="AI101" i="7" s="1"/>
  <c r="AH100" i="7"/>
  <c r="AI100" i="7" s="1"/>
  <c r="AH99" i="7"/>
  <c r="AI99" i="7" s="1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D98" i="7"/>
  <c r="C98" i="7"/>
  <c r="AI97" i="7"/>
  <c r="AH97" i="7"/>
  <c r="AI96" i="7"/>
  <c r="AH96" i="7"/>
  <c r="AI95" i="7"/>
  <c r="AH95" i="7"/>
  <c r="AI94" i="7"/>
  <c r="AH94" i="7"/>
  <c r="AI93" i="7"/>
  <c r="AH93" i="7"/>
  <c r="AI92" i="7"/>
  <c r="AH92" i="7"/>
  <c r="AI91" i="7"/>
  <c r="AH91" i="7"/>
  <c r="AI90" i="7"/>
  <c r="AH90" i="7"/>
  <c r="AI89" i="7"/>
  <c r="AH89" i="7"/>
  <c r="AI86" i="7"/>
  <c r="AH86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I78" i="7"/>
  <c r="AH78" i="7"/>
  <c r="AI76" i="7"/>
  <c r="AH76" i="7"/>
  <c r="AG76" i="7"/>
  <c r="AI75" i="7"/>
  <c r="AH75" i="7"/>
  <c r="AI74" i="7"/>
  <c r="AH74" i="7"/>
  <c r="AI73" i="7"/>
  <c r="AH73" i="7"/>
  <c r="AG72" i="7"/>
  <c r="AF72" i="7"/>
  <c r="AE5" i="7" s="1"/>
  <c r="AE72" i="7"/>
  <c r="AD5" i="7" s="1"/>
  <c r="AD72" i="7"/>
  <c r="AC5" i="7" s="1"/>
  <c r="AC72" i="7"/>
  <c r="AB5" i="7" s="1"/>
  <c r="AB72" i="7"/>
  <c r="AA72" i="7"/>
  <c r="Z72" i="7"/>
  <c r="Y5" i="7" s="1"/>
  <c r="Y72" i="7"/>
  <c r="X5" i="7" s="1"/>
  <c r="X72" i="7"/>
  <c r="W72" i="7"/>
  <c r="V5" i="7" s="1"/>
  <c r="V72" i="7"/>
  <c r="U5" i="7" s="1"/>
  <c r="U72" i="7"/>
  <c r="T5" i="7" s="1"/>
  <c r="T72" i="7"/>
  <c r="S72" i="7"/>
  <c r="R5" i="7" s="1"/>
  <c r="R72" i="7"/>
  <c r="Q72" i="7"/>
  <c r="P5" i="7" s="1"/>
  <c r="P72" i="7"/>
  <c r="O5" i="7" s="1"/>
  <c r="O72" i="7"/>
  <c r="N5" i="7" s="1"/>
  <c r="N72" i="7"/>
  <c r="M72" i="7"/>
  <c r="L72" i="7"/>
  <c r="K72" i="7"/>
  <c r="J5" i="7" s="1"/>
  <c r="J72" i="7"/>
  <c r="I5" i="7" s="1"/>
  <c r="I72" i="7"/>
  <c r="H5" i="7" s="1"/>
  <c r="H72" i="7"/>
  <c r="G72" i="7"/>
  <c r="F5" i="7" s="1"/>
  <c r="F72" i="7"/>
  <c r="E72" i="7"/>
  <c r="D72" i="7"/>
  <c r="C72" i="7"/>
  <c r="B5" i="7" s="1"/>
  <c r="B72" i="7"/>
  <c r="AF5" i="7" s="1"/>
  <c r="AI71" i="7"/>
  <c r="AH71" i="7"/>
  <c r="AI70" i="7"/>
  <c r="AH70" i="7"/>
  <c r="AI69" i="7"/>
  <c r="AH69" i="7"/>
  <c r="AI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I59" i="7"/>
  <c r="AH59" i="7"/>
  <c r="AI58" i="7"/>
  <c r="AH58" i="7"/>
  <c r="AI57" i="7"/>
  <c r="AH57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I55" i="7"/>
  <c r="AH55" i="7"/>
  <c r="AG55" i="7"/>
  <c r="AG56" i="7" s="1"/>
  <c r="AG3" i="7" s="1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I41" i="7"/>
  <c r="AH41" i="7"/>
  <c r="AI40" i="7"/>
  <c r="AH40" i="7"/>
  <c r="AI39" i="7"/>
  <c r="AH39" i="7"/>
  <c r="AG38" i="7"/>
  <c r="AF38" i="7"/>
  <c r="AF77" i="7" s="1"/>
  <c r="AF79" i="7" s="1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Z5" i="7"/>
  <c r="Q5" i="7"/>
  <c r="AG4" i="7"/>
  <c r="K4" i="7"/>
  <c r="B4" i="7"/>
  <c r="S232" i="7" s="1"/>
  <c r="AF100" i="6"/>
  <c r="AE100" i="6"/>
  <c r="AD100" i="6"/>
  <c r="AC100" i="6"/>
  <c r="AB100" i="6"/>
  <c r="AA100" i="6"/>
  <c r="Z100" i="6"/>
  <c r="Y100" i="6"/>
  <c r="X100" i="6"/>
  <c r="E4" i="7"/>
  <c r="AC77" i="7" l="1"/>
  <c r="AC79" i="7" s="1"/>
  <c r="AB87" i="7"/>
  <c r="AB88" i="7" s="1"/>
  <c r="AA87" i="7"/>
  <c r="Z77" i="7"/>
  <c r="Z79" i="7" s="1"/>
  <c r="AR235" i="7" s="1"/>
  <c r="F220" i="7"/>
  <c r="D256" i="7"/>
  <c r="C256" i="7"/>
  <c r="AE77" i="7"/>
  <c r="AE79" i="7" s="1"/>
  <c r="AW235" i="7" s="1"/>
  <c r="AF87" i="7"/>
  <c r="AF80" i="7" s="1"/>
  <c r="AA88" i="7"/>
  <c r="E98" i="7"/>
  <c r="X87" i="7"/>
  <c r="X88" i="7"/>
  <c r="W5" i="7"/>
  <c r="X77" i="7"/>
  <c r="X79" i="7" s="1"/>
  <c r="X7" i="7" s="1"/>
  <c r="W77" i="7"/>
  <c r="W79" i="7" s="1"/>
  <c r="AO235" i="7" s="1"/>
  <c r="U77" i="7"/>
  <c r="U79" i="7" s="1"/>
  <c r="U7" i="7" s="1"/>
  <c r="T87" i="7"/>
  <c r="T88" i="7" s="1"/>
  <c r="S87" i="7"/>
  <c r="S88" i="7" s="1"/>
  <c r="R77" i="7"/>
  <c r="R79" i="7" s="1"/>
  <c r="P87" i="7"/>
  <c r="P77" i="7"/>
  <c r="P79" i="7" s="1"/>
  <c r="P88" i="7"/>
  <c r="Q77" i="7"/>
  <c r="Q79" i="7" s="1"/>
  <c r="Y77" i="7"/>
  <c r="Y79" i="7" s="1"/>
  <c r="AQ235" i="7" s="1"/>
  <c r="AG77" i="7"/>
  <c r="J87" i="7"/>
  <c r="R87" i="7"/>
  <c r="Z87" i="7"/>
  <c r="D87" i="7"/>
  <c r="T77" i="7"/>
  <c r="T79" i="7" s="1"/>
  <c r="AL235" i="7" s="1"/>
  <c r="AB77" i="7"/>
  <c r="AB79" i="7" s="1"/>
  <c r="U87" i="7"/>
  <c r="U88" i="7" s="1"/>
  <c r="AC87" i="7"/>
  <c r="AC88" i="7" s="1"/>
  <c r="V87" i="7"/>
  <c r="V88" i="7" s="1"/>
  <c r="AD87" i="7"/>
  <c r="AD88" i="7" s="1"/>
  <c r="W87" i="7"/>
  <c r="W88" i="7" s="1"/>
  <c r="AE87" i="7"/>
  <c r="AE88" i="7" s="1"/>
  <c r="D221" i="7"/>
  <c r="V77" i="7"/>
  <c r="V79" i="7" s="1"/>
  <c r="AN235" i="7" s="1"/>
  <c r="AD77" i="7"/>
  <c r="AD79" i="7" s="1"/>
  <c r="AD7" i="7" s="1"/>
  <c r="Q87" i="7"/>
  <c r="Q88" i="7" s="1"/>
  <c r="Y87" i="7"/>
  <c r="Y88" i="7" s="1"/>
  <c r="S77" i="7"/>
  <c r="S79" i="7" s="1"/>
  <c r="AA77" i="7"/>
  <c r="AA79" i="7" s="1"/>
  <c r="AA80" i="7" s="1"/>
  <c r="AG79" i="7"/>
  <c r="M5" i="7"/>
  <c r="N87" i="7"/>
  <c r="N88" i="7" s="1"/>
  <c r="O87" i="7"/>
  <c r="N77" i="7"/>
  <c r="N79" i="7" s="1"/>
  <c r="O77" i="7"/>
  <c r="O79" i="7" s="1"/>
  <c r="O7" i="7" s="1"/>
  <c r="L5" i="7"/>
  <c r="M87" i="7"/>
  <c r="M88" i="7" s="1"/>
  <c r="M77" i="7"/>
  <c r="M79" i="7" s="1"/>
  <c r="AE235" i="7" s="1"/>
  <c r="L87" i="7"/>
  <c r="L88" i="7" s="1"/>
  <c r="L77" i="7"/>
  <c r="L79" i="7" s="1"/>
  <c r="AD235" i="7" s="1"/>
  <c r="K87" i="7"/>
  <c r="K88" i="7"/>
  <c r="K77" i="7"/>
  <c r="K79" i="7" s="1"/>
  <c r="J77" i="7"/>
  <c r="J79" i="7" s="1"/>
  <c r="J80" i="7" s="1"/>
  <c r="I77" i="7"/>
  <c r="I79" i="7" s="1"/>
  <c r="AA235" i="7" s="1"/>
  <c r="G5" i="7"/>
  <c r="H87" i="7"/>
  <c r="H88" i="7" s="1"/>
  <c r="H77" i="7"/>
  <c r="H79" i="7" s="1"/>
  <c r="G87" i="7"/>
  <c r="G77" i="7"/>
  <c r="G79" i="7" s="1"/>
  <c r="G80" i="7" s="1"/>
  <c r="E5" i="7"/>
  <c r="F87" i="7"/>
  <c r="F88" i="7" s="1"/>
  <c r="AI85" i="7"/>
  <c r="F77" i="7"/>
  <c r="F79" i="7" s="1"/>
  <c r="F7" i="7" s="1"/>
  <c r="AH84" i="7"/>
  <c r="E87" i="7"/>
  <c r="E88" i="7" s="1"/>
  <c r="D5" i="7"/>
  <c r="E77" i="7"/>
  <c r="E79" i="7" s="1"/>
  <c r="D88" i="7"/>
  <c r="AI81" i="7"/>
  <c r="D77" i="7"/>
  <c r="D79" i="7" s="1"/>
  <c r="D80" i="7" s="1"/>
  <c r="AH82" i="7"/>
  <c r="C87" i="7"/>
  <c r="C88" i="7" s="1"/>
  <c r="AI83" i="7"/>
  <c r="AI60" i="7"/>
  <c r="AI56" i="7"/>
  <c r="C77" i="7"/>
  <c r="C79" i="7" s="1"/>
  <c r="U235" i="7" s="1"/>
  <c r="AH42" i="7"/>
  <c r="AI82" i="7"/>
  <c r="AH83" i="7"/>
  <c r="B77" i="7"/>
  <c r="B79" i="7" s="1"/>
  <c r="H4" i="7"/>
  <c r="G88" i="7"/>
  <c r="O88" i="7"/>
  <c r="AU235" i="7"/>
  <c r="AC7" i="7"/>
  <c r="G215" i="7"/>
  <c r="F98" i="7"/>
  <c r="E256" i="7"/>
  <c r="G220" i="7"/>
  <c r="J88" i="7"/>
  <c r="R88" i="7"/>
  <c r="Z88" i="7"/>
  <c r="R80" i="7"/>
  <c r="AJ235" i="7"/>
  <c r="R7" i="7"/>
  <c r="K80" i="7"/>
  <c r="AC235" i="7"/>
  <c r="K7" i="7"/>
  <c r="P80" i="7"/>
  <c r="AH235" i="7"/>
  <c r="P7" i="7"/>
  <c r="AX235" i="7"/>
  <c r="AF7" i="7"/>
  <c r="AI38" i="7"/>
  <c r="AI42" i="7"/>
  <c r="AI84" i="7"/>
  <c r="AH85" i="7"/>
  <c r="B98" i="7"/>
  <c r="D232" i="7"/>
  <c r="AG2" i="7"/>
  <c r="AG6" i="7" s="1"/>
  <c r="C5" i="7"/>
  <c r="K5" i="7"/>
  <c r="S5" i="7"/>
  <c r="AA5" i="7"/>
  <c r="I87" i="7"/>
  <c r="I88" i="7" s="1"/>
  <c r="AH56" i="7"/>
  <c r="AH60" i="7"/>
  <c r="AH72" i="7"/>
  <c r="AH81" i="7"/>
  <c r="B87" i="7"/>
  <c r="B88" i="7" s="1"/>
  <c r="AI72" i="7"/>
  <c r="AH38" i="7"/>
  <c r="E217" i="7"/>
  <c r="F217" i="7" s="1"/>
  <c r="G217" i="7" s="1"/>
  <c r="H217" i="7" s="1"/>
  <c r="I217" i="7" s="1"/>
  <c r="J217" i="7" s="1"/>
  <c r="K217" i="7" s="1"/>
  <c r="L217" i="7" s="1"/>
  <c r="M217" i="7" s="1"/>
  <c r="N217" i="7" s="1"/>
  <c r="O217" i="7" s="1"/>
  <c r="P217" i="7" s="1"/>
  <c r="W100" i="6"/>
  <c r="AE80" i="7" l="1"/>
  <c r="AE7" i="7"/>
  <c r="AF88" i="7"/>
  <c r="AB80" i="7"/>
  <c r="AB7" i="7"/>
  <c r="AT235" i="7"/>
  <c r="AA7" i="7"/>
  <c r="AS235" i="7"/>
  <c r="Z7" i="7"/>
  <c r="Z80" i="7"/>
  <c r="W7" i="7"/>
  <c r="U80" i="7"/>
  <c r="H80" i="7"/>
  <c r="S80" i="7"/>
  <c r="AV235" i="7"/>
  <c r="J7" i="7"/>
  <c r="AD80" i="7"/>
  <c r="AB235" i="7"/>
  <c r="E80" i="7"/>
  <c r="N80" i="7"/>
  <c r="AC80" i="7"/>
  <c r="AP235" i="7"/>
  <c r="X80" i="7"/>
  <c r="Y80" i="7"/>
  <c r="Y7" i="7"/>
  <c r="W80" i="7"/>
  <c r="V7" i="7"/>
  <c r="AM235" i="7"/>
  <c r="T7" i="7"/>
  <c r="T80" i="7"/>
  <c r="S7" i="7"/>
  <c r="AK235" i="7"/>
  <c r="Q80" i="7"/>
  <c r="Q7" i="7"/>
  <c r="AI235" i="7"/>
  <c r="E221" i="7"/>
  <c r="V80" i="7"/>
  <c r="D7" i="7"/>
  <c r="O80" i="7"/>
  <c r="AF235" i="7"/>
  <c r="AG235" i="7"/>
  <c r="N7" i="7"/>
  <c r="M7" i="7"/>
  <c r="M80" i="7"/>
  <c r="L7" i="7"/>
  <c r="L80" i="7"/>
  <c r="I7" i="7"/>
  <c r="Y235" i="7"/>
  <c r="G7" i="7"/>
  <c r="H7" i="7"/>
  <c r="B230" i="7"/>
  <c r="Z235" i="7"/>
  <c r="C230" i="7"/>
  <c r="F80" i="7"/>
  <c r="X235" i="7"/>
  <c r="V235" i="7"/>
  <c r="E7" i="7"/>
  <c r="W235" i="7"/>
  <c r="AH77" i="7"/>
  <c r="AI77" i="7"/>
  <c r="C80" i="7"/>
  <c r="C7" i="7"/>
  <c r="AI88" i="7"/>
  <c r="AH88" i="7"/>
  <c r="F221" i="7"/>
  <c r="I80" i="7"/>
  <c r="G98" i="7"/>
  <c r="G221" i="7"/>
  <c r="H215" i="7"/>
  <c r="AI87" i="7"/>
  <c r="AH87" i="7"/>
  <c r="F256" i="7"/>
  <c r="H220" i="7"/>
  <c r="B80" i="7"/>
  <c r="AI79" i="7"/>
  <c r="AH79" i="7"/>
  <c r="T235" i="7"/>
  <c r="B7" i="7"/>
  <c r="U100" i="6"/>
  <c r="T100" i="6"/>
  <c r="S100" i="6"/>
  <c r="A7" i="7" l="1"/>
  <c r="K6" i="7"/>
  <c r="AH80" i="7"/>
  <c r="I215" i="7"/>
  <c r="H98" i="7"/>
  <c r="H221" i="7"/>
  <c r="G256" i="7"/>
  <c r="I220" i="7"/>
  <c r="H256" i="7" l="1"/>
  <c r="J220" i="7"/>
  <c r="I98" i="7"/>
  <c r="I221" i="7"/>
  <c r="J215" i="7"/>
  <c r="J221" i="7" l="1"/>
  <c r="K215" i="7"/>
  <c r="J98" i="7"/>
  <c r="K220" i="7"/>
  <c r="I256" i="7"/>
  <c r="K221" i="7" l="1"/>
  <c r="L215" i="7"/>
  <c r="K98" i="7"/>
  <c r="J256" i="7"/>
  <c r="L220" i="7"/>
  <c r="L221" i="7" l="1"/>
  <c r="M215" i="7"/>
  <c r="L98" i="7"/>
  <c r="K256" i="7"/>
  <c r="M220" i="7"/>
  <c r="L256" i="7" l="1"/>
  <c r="N220" i="7"/>
  <c r="N215" i="7"/>
  <c r="M98" i="7"/>
  <c r="M221" i="7"/>
  <c r="O215" i="7" l="1"/>
  <c r="N98" i="7"/>
  <c r="N221" i="7"/>
  <c r="M256" i="7"/>
  <c r="O220" i="7"/>
  <c r="N256" i="7" l="1"/>
  <c r="P220" i="7"/>
  <c r="O256" i="7" s="1"/>
  <c r="O98" i="7"/>
  <c r="P215" i="7"/>
  <c r="O221" i="7"/>
  <c r="P98" i="7" l="1"/>
  <c r="P221" i="7"/>
  <c r="AI98" i="7" l="1"/>
  <c r="AH98" i="7"/>
  <c r="E99" i="6" l="1"/>
  <c r="E100" i="6"/>
  <c r="D100" i="6"/>
  <c r="D99" i="6"/>
  <c r="C100" i="6"/>
  <c r="C99" i="6"/>
  <c r="B100" i="6"/>
  <c r="B99" i="6"/>
  <c r="B98" i="6"/>
  <c r="B85" i="6"/>
  <c r="B84" i="6"/>
  <c r="B83" i="6"/>
  <c r="B82" i="6"/>
  <c r="B81" i="6"/>
  <c r="B72" i="6"/>
  <c r="B60" i="6"/>
  <c r="B56" i="6"/>
  <c r="B42" i="6"/>
  <c r="B38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A260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D259" i="6"/>
  <c r="C259" i="6"/>
  <c r="B259" i="6"/>
  <c r="A259" i="6"/>
  <c r="AF258" i="6"/>
  <c r="AE258" i="6"/>
  <c r="AD258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G258" i="6"/>
  <c r="F258" i="6"/>
  <c r="E258" i="6"/>
  <c r="D258" i="6"/>
  <c r="C258" i="6"/>
  <c r="B258" i="6"/>
  <c r="A258" i="6"/>
  <c r="AF257" i="6"/>
  <c r="AE257" i="6"/>
  <c r="AD257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D257" i="6"/>
  <c r="C257" i="6"/>
  <c r="B257" i="6"/>
  <c r="A257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D256" i="6"/>
  <c r="C256" i="6"/>
  <c r="B256" i="6"/>
  <c r="S231" i="6"/>
  <c r="AG221" i="6"/>
  <c r="AF221" i="6"/>
  <c r="AE221" i="6"/>
  <c r="AD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C221" i="6"/>
  <c r="F220" i="6"/>
  <c r="E256" i="6" s="1"/>
  <c r="E220" i="6"/>
  <c r="D220" i="6"/>
  <c r="B220" i="6"/>
  <c r="AF256" i="6" s="1"/>
  <c r="E219" i="6"/>
  <c r="F219" i="6" s="1"/>
  <c r="G219" i="6" s="1"/>
  <c r="H219" i="6" s="1"/>
  <c r="I219" i="6" s="1"/>
  <c r="J219" i="6" s="1"/>
  <c r="K219" i="6" s="1"/>
  <c r="L219" i="6" s="1"/>
  <c r="M219" i="6" s="1"/>
  <c r="N219" i="6" s="1"/>
  <c r="O219" i="6" s="1"/>
  <c r="P219" i="6" s="1"/>
  <c r="D219" i="6"/>
  <c r="B219" i="6"/>
  <c r="D218" i="6"/>
  <c r="E218" i="6" s="1"/>
  <c r="F218" i="6" s="1"/>
  <c r="G218" i="6" s="1"/>
  <c r="H218" i="6" s="1"/>
  <c r="I218" i="6" s="1"/>
  <c r="J218" i="6" s="1"/>
  <c r="K218" i="6" s="1"/>
  <c r="L218" i="6" s="1"/>
  <c r="M218" i="6" s="1"/>
  <c r="N218" i="6" s="1"/>
  <c r="O218" i="6" s="1"/>
  <c r="P218" i="6" s="1"/>
  <c r="B218" i="6"/>
  <c r="I217" i="6"/>
  <c r="J217" i="6" s="1"/>
  <c r="K217" i="6" s="1"/>
  <c r="L217" i="6" s="1"/>
  <c r="M217" i="6" s="1"/>
  <c r="N217" i="6" s="1"/>
  <c r="O217" i="6" s="1"/>
  <c r="P217" i="6" s="1"/>
  <c r="H217" i="6"/>
  <c r="G217" i="6"/>
  <c r="F217" i="6"/>
  <c r="E217" i="6"/>
  <c r="D217" i="6"/>
  <c r="B217" i="6"/>
  <c r="F216" i="6"/>
  <c r="G216" i="6" s="1"/>
  <c r="H216" i="6" s="1"/>
  <c r="I216" i="6" s="1"/>
  <c r="J216" i="6" s="1"/>
  <c r="K216" i="6" s="1"/>
  <c r="L216" i="6" s="1"/>
  <c r="M216" i="6" s="1"/>
  <c r="N216" i="6" s="1"/>
  <c r="O216" i="6" s="1"/>
  <c r="P216" i="6" s="1"/>
  <c r="E216" i="6"/>
  <c r="D216" i="6"/>
  <c r="B216" i="6"/>
  <c r="E215" i="6"/>
  <c r="D215" i="6"/>
  <c r="D221" i="6" s="1"/>
  <c r="B215" i="6"/>
  <c r="B221" i="6" s="1"/>
  <c r="AG213" i="6"/>
  <c r="AF213" i="6"/>
  <c r="AE213" i="6"/>
  <c r="AD213" i="6"/>
  <c r="AC213" i="6"/>
  <c r="AB213" i="6"/>
  <c r="AA213" i="6"/>
  <c r="Z213" i="6"/>
  <c r="Y213" i="6"/>
  <c r="X213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C213" i="6"/>
  <c r="B213" i="6"/>
  <c r="AH106" i="6"/>
  <c r="AI106" i="6" s="1"/>
  <c r="AH105" i="6"/>
  <c r="AI105" i="6" s="1"/>
  <c r="AH104" i="6"/>
  <c r="AI104" i="6" s="1"/>
  <c r="AH103" i="6"/>
  <c r="AI103" i="6" s="1"/>
  <c r="AH102" i="6"/>
  <c r="AI102" i="6" s="1"/>
  <c r="AH101" i="6"/>
  <c r="AI101" i="6" s="1"/>
  <c r="AH100" i="6"/>
  <c r="AI100" i="6" s="1"/>
  <c r="AH99" i="6"/>
  <c r="AI99" i="6" s="1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E98" i="6"/>
  <c r="D98" i="6"/>
  <c r="C98" i="6"/>
  <c r="AI97" i="6"/>
  <c r="AH97" i="6"/>
  <c r="AI96" i="6"/>
  <c r="AH96" i="6"/>
  <c r="AI95" i="6"/>
  <c r="AH95" i="6"/>
  <c r="AI94" i="6"/>
  <c r="AH94" i="6"/>
  <c r="AI93" i="6"/>
  <c r="AH93" i="6"/>
  <c r="AI92" i="6"/>
  <c r="AH92" i="6"/>
  <c r="AI91" i="6"/>
  <c r="AH91" i="6"/>
  <c r="AI90" i="6"/>
  <c r="AH90" i="6"/>
  <c r="AI89" i="6"/>
  <c r="AH89" i="6"/>
  <c r="AI86" i="6"/>
  <c r="AH86" i="6"/>
  <c r="AF85" i="6"/>
  <c r="AE85" i="6"/>
  <c r="AD85" i="6"/>
  <c r="AC85" i="6"/>
  <c r="AB85" i="6"/>
  <c r="AA85" i="6"/>
  <c r="Z85" i="6"/>
  <c r="Y85" i="6"/>
  <c r="Y87" i="6" s="1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AF83" i="6"/>
  <c r="AE83" i="6"/>
  <c r="AD83" i="6"/>
  <c r="AC83" i="6"/>
  <c r="AB83" i="6"/>
  <c r="AA83" i="6"/>
  <c r="Z83" i="6"/>
  <c r="Y83" i="6"/>
  <c r="X83" i="6"/>
  <c r="X87" i="6" s="1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AF81" i="6"/>
  <c r="AE81" i="6"/>
  <c r="AE87" i="6" s="1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G87" i="6" s="1"/>
  <c r="F81" i="6"/>
  <c r="E81" i="6"/>
  <c r="D81" i="6"/>
  <c r="C81" i="6"/>
  <c r="AI78" i="6"/>
  <c r="AH78" i="6"/>
  <c r="AI76" i="6"/>
  <c r="AH76" i="6"/>
  <c r="AG76" i="6"/>
  <c r="AI75" i="6"/>
  <c r="AH75" i="6"/>
  <c r="AI74" i="6"/>
  <c r="AH74" i="6"/>
  <c r="AI73" i="6"/>
  <c r="AH73" i="6"/>
  <c r="AG72" i="6"/>
  <c r="AF72" i="6"/>
  <c r="AE5" i="6" s="1"/>
  <c r="AE72" i="6"/>
  <c r="AD5" i="6" s="1"/>
  <c r="AD72" i="6"/>
  <c r="AC72" i="6"/>
  <c r="AB5" i="6" s="1"/>
  <c r="AB72" i="6"/>
  <c r="AA5" i="6" s="1"/>
  <c r="AA72" i="6"/>
  <c r="Z5" i="6" s="1"/>
  <c r="Z72" i="6"/>
  <c r="Y72" i="6"/>
  <c r="X72" i="6"/>
  <c r="W5" i="6" s="1"/>
  <c r="W72" i="6"/>
  <c r="V5" i="6" s="1"/>
  <c r="V72" i="6"/>
  <c r="U72" i="6"/>
  <c r="T5" i="6" s="1"/>
  <c r="T72" i="6"/>
  <c r="S5" i="6" s="1"/>
  <c r="S72" i="6"/>
  <c r="R5" i="6" s="1"/>
  <c r="R72" i="6"/>
  <c r="Q72" i="6"/>
  <c r="P72" i="6"/>
  <c r="O5" i="6" s="1"/>
  <c r="O72" i="6"/>
  <c r="N72" i="6"/>
  <c r="M5" i="6" s="1"/>
  <c r="M72" i="6"/>
  <c r="L5" i="6" s="1"/>
  <c r="L72" i="6"/>
  <c r="K5" i="6" s="1"/>
  <c r="K72" i="6"/>
  <c r="J5" i="6" s="1"/>
  <c r="J72" i="6"/>
  <c r="I72" i="6"/>
  <c r="H72" i="6"/>
  <c r="G5" i="6" s="1"/>
  <c r="G72" i="6"/>
  <c r="F72" i="6"/>
  <c r="E5" i="6" s="1"/>
  <c r="E72" i="6"/>
  <c r="D5" i="6" s="1"/>
  <c r="D72" i="6"/>
  <c r="C5" i="6" s="1"/>
  <c r="C72" i="6"/>
  <c r="B5" i="6" s="1"/>
  <c r="AI71" i="6"/>
  <c r="AH71" i="6"/>
  <c r="AI70" i="6"/>
  <c r="AH70" i="6"/>
  <c r="AI69" i="6"/>
  <c r="AH69" i="6"/>
  <c r="AI68" i="6"/>
  <c r="AH68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G60" i="6"/>
  <c r="AG4" i="6" s="1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AI59" i="6"/>
  <c r="AH59" i="6"/>
  <c r="AI58" i="6"/>
  <c r="AH58" i="6"/>
  <c r="AI57" i="6"/>
  <c r="AH57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I55" i="6"/>
  <c r="AH55" i="6"/>
  <c r="AG55" i="6"/>
  <c r="AG56" i="6" s="1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I41" i="6"/>
  <c r="AH41" i="6"/>
  <c r="AI40" i="6"/>
  <c r="AH40" i="6"/>
  <c r="AI39" i="6"/>
  <c r="AH39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C5" i="6"/>
  <c r="F5" i="6"/>
  <c r="K4" i="6"/>
  <c r="B4" i="6"/>
  <c r="AG2" i="6"/>
  <c r="AF100" i="5"/>
  <c r="AE99" i="5"/>
  <c r="AF99" i="5"/>
  <c r="AF38" i="5"/>
  <c r="AF42" i="5"/>
  <c r="AE100" i="5"/>
  <c r="AE38" i="5"/>
  <c r="Y100" i="5"/>
  <c r="X100" i="5"/>
  <c r="W100" i="5"/>
  <c r="V100" i="5"/>
  <c r="V39" i="5"/>
  <c r="U100" i="5"/>
  <c r="S100" i="5"/>
  <c r="Q100" i="5"/>
  <c r="R100" i="5"/>
  <c r="Q38" i="5"/>
  <c r="R38" i="5"/>
  <c r="Q42" i="5"/>
  <c r="R42" i="5"/>
  <c r="Q56" i="5"/>
  <c r="R56" i="5"/>
  <c r="Q60" i="5"/>
  <c r="R60" i="5"/>
  <c r="Q72" i="5"/>
  <c r="R72" i="5"/>
  <c r="Q81" i="5"/>
  <c r="R81" i="5"/>
  <c r="Q82" i="5"/>
  <c r="R82" i="5"/>
  <c r="Q83" i="5"/>
  <c r="R83" i="5"/>
  <c r="Q84" i="5"/>
  <c r="R84" i="5"/>
  <c r="Q85" i="5"/>
  <c r="R85" i="5"/>
  <c r="Q98" i="5"/>
  <c r="R98" i="5"/>
  <c r="E4" i="6"/>
  <c r="AF87" i="6" l="1"/>
  <c r="AE88" i="6"/>
  <c r="AD77" i="6"/>
  <c r="AD79" i="6" s="1"/>
  <c r="AC77" i="6"/>
  <c r="AC79" i="6" s="1"/>
  <c r="AB77" i="6"/>
  <c r="AB79" i="6" s="1"/>
  <c r="AB7" i="6" s="1"/>
  <c r="Z87" i="6"/>
  <c r="Z77" i="6"/>
  <c r="Z79" i="6" s="1"/>
  <c r="X88" i="6"/>
  <c r="Y77" i="6"/>
  <c r="Y79" i="6" s="1"/>
  <c r="Y7" i="6" s="1"/>
  <c r="W87" i="6"/>
  <c r="W88" i="6" s="1"/>
  <c r="V77" i="6"/>
  <c r="V79" i="6" s="1"/>
  <c r="AN235" i="6" s="1"/>
  <c r="U77" i="6"/>
  <c r="U79" i="6" s="1"/>
  <c r="T77" i="6"/>
  <c r="T79" i="6" s="1"/>
  <c r="AL235" i="6" s="1"/>
  <c r="R87" i="6"/>
  <c r="R77" i="6"/>
  <c r="R79" i="6" s="1"/>
  <c r="Q87" i="6"/>
  <c r="Q77" i="6"/>
  <c r="Q79" i="6" s="1"/>
  <c r="P87" i="6"/>
  <c r="O87" i="6"/>
  <c r="O88" i="6" s="1"/>
  <c r="N5" i="6"/>
  <c r="N77" i="6"/>
  <c r="N79" i="6" s="1"/>
  <c r="AI85" i="6"/>
  <c r="M77" i="6"/>
  <c r="M79" i="6" s="1"/>
  <c r="M7" i="6" s="1"/>
  <c r="L77" i="6"/>
  <c r="L79" i="6" s="1"/>
  <c r="AD235" i="6" s="1"/>
  <c r="J77" i="6"/>
  <c r="J79" i="6" s="1"/>
  <c r="J87" i="6"/>
  <c r="I87" i="6"/>
  <c r="H87" i="6"/>
  <c r="G88" i="6"/>
  <c r="J80" i="6"/>
  <c r="J7" i="6"/>
  <c r="I77" i="6"/>
  <c r="I79" i="6" s="1"/>
  <c r="AA235" i="6" s="1"/>
  <c r="F77" i="6"/>
  <c r="F79" i="6" s="1"/>
  <c r="X235" i="6" s="1"/>
  <c r="E77" i="6"/>
  <c r="E79" i="6" s="1"/>
  <c r="AH84" i="6"/>
  <c r="D77" i="6"/>
  <c r="D79" i="6" s="1"/>
  <c r="D7" i="6" s="1"/>
  <c r="AI42" i="6"/>
  <c r="B87" i="6"/>
  <c r="B77" i="6"/>
  <c r="B79" i="6" s="1"/>
  <c r="B80" i="6" s="1"/>
  <c r="B88" i="6"/>
  <c r="H4" i="6"/>
  <c r="AM235" i="6"/>
  <c r="U7" i="6"/>
  <c r="F7" i="6"/>
  <c r="N7" i="6"/>
  <c r="AF235" i="6"/>
  <c r="AD7" i="6"/>
  <c r="AV235" i="6"/>
  <c r="Z80" i="6"/>
  <c r="AR235" i="6"/>
  <c r="Z7" i="6"/>
  <c r="AG79" i="6"/>
  <c r="AG3" i="6"/>
  <c r="AG6" i="6" s="1"/>
  <c r="R80" i="6"/>
  <c r="AJ235" i="6"/>
  <c r="R7" i="6"/>
  <c r="Q80" i="6"/>
  <c r="AI235" i="6"/>
  <c r="Q7" i="6"/>
  <c r="O77" i="6"/>
  <c r="O79" i="6" s="1"/>
  <c r="AU235" i="6"/>
  <c r="AC7" i="6"/>
  <c r="M87" i="6"/>
  <c r="M88" i="6" s="1"/>
  <c r="S232" i="6"/>
  <c r="D232" i="6"/>
  <c r="U5" i="6"/>
  <c r="H77" i="6"/>
  <c r="H79" i="6" s="1"/>
  <c r="P77" i="6"/>
  <c r="P79" i="6" s="1"/>
  <c r="X77" i="6"/>
  <c r="X79" i="6" s="1"/>
  <c r="AF77" i="6"/>
  <c r="AF79" i="6" s="1"/>
  <c r="AH81" i="6"/>
  <c r="F87" i="6"/>
  <c r="F88" i="6" s="1"/>
  <c r="N87" i="6"/>
  <c r="N80" i="6" s="1"/>
  <c r="V87" i="6"/>
  <c r="V88" i="6" s="1"/>
  <c r="AD87" i="6"/>
  <c r="AD88" i="6" s="1"/>
  <c r="AH85" i="6"/>
  <c r="H88" i="6"/>
  <c r="G220" i="6"/>
  <c r="W235" i="6"/>
  <c r="E7" i="6"/>
  <c r="G77" i="6"/>
  <c r="G79" i="6" s="1"/>
  <c r="AE77" i="6"/>
  <c r="AE79" i="6" s="1"/>
  <c r="U87" i="6"/>
  <c r="U88" i="6" s="1"/>
  <c r="AG77" i="6"/>
  <c r="AE235" i="6"/>
  <c r="AF88" i="6"/>
  <c r="F215" i="6"/>
  <c r="E221" i="6"/>
  <c r="AH42" i="6"/>
  <c r="AI38" i="6"/>
  <c r="H5" i="6"/>
  <c r="I88" i="6"/>
  <c r="P5" i="6"/>
  <c r="Q88" i="6"/>
  <c r="X5" i="6"/>
  <c r="Y88" i="6"/>
  <c r="AI83" i="6"/>
  <c r="W77" i="6"/>
  <c r="W79" i="6" s="1"/>
  <c r="E87" i="6"/>
  <c r="E88" i="6" s="1"/>
  <c r="C77" i="6"/>
  <c r="C79" i="6" s="1"/>
  <c r="K77" i="6"/>
  <c r="K79" i="6" s="1"/>
  <c r="S77" i="6"/>
  <c r="S79" i="6" s="1"/>
  <c r="AA77" i="6"/>
  <c r="AA79" i="6" s="1"/>
  <c r="AF5" i="6"/>
  <c r="AI72" i="6"/>
  <c r="I5" i="6"/>
  <c r="J88" i="6"/>
  <c r="Q5" i="6"/>
  <c r="R88" i="6"/>
  <c r="Y5" i="6"/>
  <c r="Z88" i="6"/>
  <c r="AH72" i="6"/>
  <c r="AI82" i="6"/>
  <c r="AH83" i="6"/>
  <c r="P88" i="6"/>
  <c r="AC87" i="6"/>
  <c r="AC88" i="6" s="1"/>
  <c r="AI60" i="6"/>
  <c r="AH60" i="6"/>
  <c r="AI81" i="6"/>
  <c r="AB235" i="6"/>
  <c r="AI56" i="6"/>
  <c r="AH56" i="6"/>
  <c r="C87" i="6"/>
  <c r="C88" i="6" s="1"/>
  <c r="K87" i="6"/>
  <c r="K88" i="6" s="1"/>
  <c r="S87" i="6"/>
  <c r="S88" i="6" s="1"/>
  <c r="AA87" i="6"/>
  <c r="AA88" i="6" s="1"/>
  <c r="D87" i="6"/>
  <c r="L87" i="6"/>
  <c r="L88" i="6" s="1"/>
  <c r="T87" i="6"/>
  <c r="T88" i="6" s="1"/>
  <c r="AB87" i="6"/>
  <c r="AB80" i="6" s="1"/>
  <c r="AI84" i="6"/>
  <c r="AH82" i="6"/>
  <c r="AH38" i="6"/>
  <c r="R87" i="5"/>
  <c r="R88" i="5" s="1"/>
  <c r="R77" i="5"/>
  <c r="R79" i="5" s="1"/>
  <c r="Q87" i="5"/>
  <c r="Q88" i="5" s="1"/>
  <c r="Q77" i="5"/>
  <c r="Q79" i="5" s="1"/>
  <c r="R80" i="5"/>
  <c r="Q80" i="5"/>
  <c r="AT235" i="6" l="1"/>
  <c r="T7" i="6"/>
  <c r="AQ235" i="6"/>
  <c r="Y80" i="6"/>
  <c r="V7" i="6"/>
  <c r="V80" i="6"/>
  <c r="T80" i="6"/>
  <c r="N88" i="6"/>
  <c r="M80" i="6"/>
  <c r="L7" i="6"/>
  <c r="I7" i="6"/>
  <c r="I80" i="6"/>
  <c r="V235" i="6"/>
  <c r="D80" i="6"/>
  <c r="C80" i="6"/>
  <c r="U235" i="6"/>
  <c r="C7" i="6"/>
  <c r="F98" i="6"/>
  <c r="G215" i="6"/>
  <c r="F221" i="6"/>
  <c r="AW235" i="6"/>
  <c r="AE7" i="6"/>
  <c r="AE80" i="6"/>
  <c r="AI87" i="6"/>
  <c r="AH87" i="6"/>
  <c r="AH235" i="6"/>
  <c r="P80" i="6"/>
  <c r="P7" i="6"/>
  <c r="Y235" i="6"/>
  <c r="G7" i="6"/>
  <c r="C230" i="6"/>
  <c r="B230" i="6"/>
  <c r="G80" i="6"/>
  <c r="Z235" i="6"/>
  <c r="H7" i="6"/>
  <c r="H80" i="6"/>
  <c r="AG235" i="6"/>
  <c r="O7" i="6"/>
  <c r="O80" i="6"/>
  <c r="AI79" i="6"/>
  <c r="B7" i="6"/>
  <c r="T235" i="6"/>
  <c r="AH79" i="6"/>
  <c r="AO235" i="6"/>
  <c r="W7" i="6"/>
  <c r="W80" i="6"/>
  <c r="E80" i="6"/>
  <c r="AB88" i="6"/>
  <c r="AI77" i="6"/>
  <c r="U80" i="6"/>
  <c r="L80" i="6"/>
  <c r="AH77" i="6"/>
  <c r="AA80" i="6"/>
  <c r="AA7" i="6"/>
  <c r="AS235" i="6"/>
  <c r="F256" i="6"/>
  <c r="H220" i="6"/>
  <c r="AD80" i="6"/>
  <c r="D88" i="6"/>
  <c r="S80" i="6"/>
  <c r="S7" i="6"/>
  <c r="AK235" i="6"/>
  <c r="AX235" i="6"/>
  <c r="AF80" i="6"/>
  <c r="AF7" i="6"/>
  <c r="AC80" i="6"/>
  <c r="F80" i="6"/>
  <c r="K80" i="6"/>
  <c r="AC235" i="6"/>
  <c r="K7" i="6"/>
  <c r="AP235" i="6"/>
  <c r="X7" i="6"/>
  <c r="X80" i="6"/>
  <c r="K6" i="6" l="1"/>
  <c r="G256" i="6"/>
  <c r="I220" i="6"/>
  <c r="H215" i="6"/>
  <c r="G98" i="6"/>
  <c r="G221" i="6"/>
  <c r="AI88" i="6"/>
  <c r="AH88" i="6"/>
  <c r="A7" i="6"/>
  <c r="AH80" i="6"/>
  <c r="I215" i="6" l="1"/>
  <c r="H98" i="6"/>
  <c r="H221" i="6"/>
  <c r="H256" i="6"/>
  <c r="J220" i="6"/>
  <c r="K220" i="6" l="1"/>
  <c r="I256" i="6"/>
  <c r="I98" i="6"/>
  <c r="I221" i="6"/>
  <c r="J215" i="6"/>
  <c r="J221" i="6" l="1"/>
  <c r="K215" i="6"/>
  <c r="J98" i="6"/>
  <c r="J256" i="6"/>
  <c r="L220" i="6"/>
  <c r="K256" i="6" l="1"/>
  <c r="M220" i="6"/>
  <c r="K221" i="6"/>
  <c r="K98" i="6"/>
  <c r="L215" i="6"/>
  <c r="L221" i="6" l="1"/>
  <c r="M215" i="6"/>
  <c r="L98" i="6"/>
  <c r="L256" i="6"/>
  <c r="N220" i="6"/>
  <c r="M256" i="6" l="1"/>
  <c r="O220" i="6"/>
  <c r="N215" i="6"/>
  <c r="M221" i="6"/>
  <c r="M98" i="6"/>
  <c r="N98" i="6" l="1"/>
  <c r="O215" i="6"/>
  <c r="N221" i="6"/>
  <c r="N256" i="6"/>
  <c r="P220" i="6"/>
  <c r="O256" i="6" s="1"/>
  <c r="P215" i="6" l="1"/>
  <c r="O98" i="6"/>
  <c r="O221" i="6"/>
  <c r="P98" i="6" l="1"/>
  <c r="P221" i="6"/>
  <c r="AH98" i="6" l="1"/>
  <c r="AI98" i="6"/>
  <c r="K100" i="5" l="1"/>
  <c r="K99" i="5"/>
  <c r="J100" i="5"/>
  <c r="I99" i="5"/>
  <c r="G100" i="5"/>
  <c r="G99" i="5"/>
  <c r="F100" i="5" l="1"/>
  <c r="F99" i="5"/>
  <c r="E100" i="5"/>
  <c r="E99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A259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D256" i="5"/>
  <c r="C256" i="5"/>
  <c r="B256" i="5"/>
  <c r="S23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C221" i="5"/>
  <c r="F220" i="5"/>
  <c r="E220" i="5"/>
  <c r="D220" i="5"/>
  <c r="B220" i="5"/>
  <c r="AF256" i="5" s="1"/>
  <c r="D219" i="5"/>
  <c r="E219" i="5" s="1"/>
  <c r="F219" i="5" s="1"/>
  <c r="G219" i="5" s="1"/>
  <c r="H219" i="5" s="1"/>
  <c r="I219" i="5" s="1"/>
  <c r="J219" i="5" s="1"/>
  <c r="K219" i="5" s="1"/>
  <c r="L219" i="5" s="1"/>
  <c r="M219" i="5" s="1"/>
  <c r="N219" i="5" s="1"/>
  <c r="O219" i="5" s="1"/>
  <c r="P219" i="5" s="1"/>
  <c r="B219" i="5"/>
  <c r="D218" i="5"/>
  <c r="E218" i="5" s="1"/>
  <c r="F218" i="5" s="1"/>
  <c r="G218" i="5" s="1"/>
  <c r="H218" i="5" s="1"/>
  <c r="I218" i="5" s="1"/>
  <c r="J218" i="5" s="1"/>
  <c r="K218" i="5" s="1"/>
  <c r="L218" i="5" s="1"/>
  <c r="M218" i="5" s="1"/>
  <c r="N218" i="5" s="1"/>
  <c r="O218" i="5" s="1"/>
  <c r="P218" i="5" s="1"/>
  <c r="B218" i="5"/>
  <c r="H217" i="5"/>
  <c r="I217" i="5" s="1"/>
  <c r="J217" i="5" s="1"/>
  <c r="K217" i="5" s="1"/>
  <c r="L217" i="5" s="1"/>
  <c r="M217" i="5" s="1"/>
  <c r="N217" i="5" s="1"/>
  <c r="O217" i="5" s="1"/>
  <c r="P217" i="5" s="1"/>
  <c r="G217" i="5"/>
  <c r="F217" i="5"/>
  <c r="E217" i="5"/>
  <c r="D217" i="5"/>
  <c r="B217" i="5"/>
  <c r="F216" i="5"/>
  <c r="G216" i="5" s="1"/>
  <c r="H216" i="5" s="1"/>
  <c r="I216" i="5" s="1"/>
  <c r="J216" i="5" s="1"/>
  <c r="K216" i="5" s="1"/>
  <c r="L216" i="5" s="1"/>
  <c r="M216" i="5" s="1"/>
  <c r="N216" i="5" s="1"/>
  <c r="O216" i="5" s="1"/>
  <c r="P216" i="5" s="1"/>
  <c r="E216" i="5"/>
  <c r="D216" i="5"/>
  <c r="B216" i="5"/>
  <c r="D215" i="5"/>
  <c r="D221" i="5" s="1"/>
  <c r="B215" i="5"/>
  <c r="B221" i="5" s="1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H106" i="5"/>
  <c r="AI106" i="5" s="1"/>
  <c r="AH105" i="5"/>
  <c r="AI105" i="5" s="1"/>
  <c r="AH104" i="5"/>
  <c r="AI104" i="5" s="1"/>
  <c r="AH103" i="5"/>
  <c r="AI103" i="5" s="1"/>
  <c r="AH102" i="5"/>
  <c r="AI102" i="5" s="1"/>
  <c r="AH101" i="5"/>
  <c r="AI101" i="5" s="1"/>
  <c r="AH100" i="5"/>
  <c r="AI100" i="5" s="1"/>
  <c r="AH99" i="5"/>
  <c r="AI99" i="5" s="1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C98" i="5"/>
  <c r="B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90" i="5"/>
  <c r="AH90" i="5"/>
  <c r="AI89" i="5"/>
  <c r="AH89" i="5"/>
  <c r="AI86" i="5"/>
  <c r="AH86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P85" i="5"/>
  <c r="N85" i="5"/>
  <c r="M85" i="5"/>
  <c r="L85" i="5"/>
  <c r="K85" i="5"/>
  <c r="J85" i="5"/>
  <c r="I85" i="5"/>
  <c r="I87" i="5" s="1"/>
  <c r="H85" i="5"/>
  <c r="G85" i="5"/>
  <c r="F85" i="5"/>
  <c r="E85" i="5"/>
  <c r="D85" i="5"/>
  <c r="C85" i="5"/>
  <c r="B85" i="5"/>
  <c r="AF84" i="5"/>
  <c r="AE84" i="5"/>
  <c r="AD84" i="5"/>
  <c r="AC84" i="5"/>
  <c r="AB84" i="5"/>
  <c r="AA84" i="5"/>
  <c r="Z84" i="5"/>
  <c r="Z87" i="5" s="1"/>
  <c r="Y84" i="5"/>
  <c r="X84" i="5"/>
  <c r="W84" i="5"/>
  <c r="V84" i="5"/>
  <c r="U84" i="5"/>
  <c r="T84" i="5"/>
  <c r="S84" i="5"/>
  <c r="P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P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P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F81" i="5"/>
  <c r="AE81" i="5"/>
  <c r="AD81" i="5"/>
  <c r="AC81" i="5"/>
  <c r="AC87" i="5" s="1"/>
  <c r="AB81" i="5"/>
  <c r="AB87" i="5" s="1"/>
  <c r="AA81" i="5"/>
  <c r="Z81" i="5"/>
  <c r="Y81" i="5"/>
  <c r="X81" i="5"/>
  <c r="X87" i="5" s="1"/>
  <c r="W81" i="5"/>
  <c r="V81" i="5"/>
  <c r="U81" i="5"/>
  <c r="U87" i="5" s="1"/>
  <c r="T81" i="5"/>
  <c r="T87" i="5" s="1"/>
  <c r="T88" i="5" s="1"/>
  <c r="S81" i="5"/>
  <c r="P81" i="5"/>
  <c r="N81" i="5"/>
  <c r="M81" i="5"/>
  <c r="L81" i="5"/>
  <c r="L87" i="5" s="1"/>
  <c r="L88" i="5" s="1"/>
  <c r="K81" i="5"/>
  <c r="J81" i="5"/>
  <c r="I81" i="5"/>
  <c r="H81" i="5"/>
  <c r="G81" i="5"/>
  <c r="F81" i="5"/>
  <c r="E81" i="5"/>
  <c r="D81" i="5"/>
  <c r="C81" i="5"/>
  <c r="B81" i="5"/>
  <c r="AI78" i="5"/>
  <c r="AH78" i="5"/>
  <c r="AI76" i="5"/>
  <c r="AH76" i="5"/>
  <c r="AG76" i="5"/>
  <c r="AI75" i="5"/>
  <c r="AH75" i="5"/>
  <c r="AI74" i="5"/>
  <c r="AH74" i="5"/>
  <c r="AI73" i="5"/>
  <c r="AH73" i="5"/>
  <c r="AG72" i="5"/>
  <c r="AG79" i="5" s="1"/>
  <c r="AF72" i="5"/>
  <c r="AE5" i="5" s="1"/>
  <c r="AE72" i="5"/>
  <c r="AE77" i="5" s="1"/>
  <c r="AE79" i="5" s="1"/>
  <c r="AD72" i="5"/>
  <c r="AC5" i="5" s="1"/>
  <c r="AC72" i="5"/>
  <c r="AB5" i="5" s="1"/>
  <c r="AB72" i="5"/>
  <c r="AA5" i="5" s="1"/>
  <c r="AA72" i="5"/>
  <c r="Z5" i="5" s="1"/>
  <c r="Z72" i="5"/>
  <c r="Z88" i="5" s="1"/>
  <c r="Y72" i="5"/>
  <c r="X72" i="5"/>
  <c r="W5" i="5" s="1"/>
  <c r="W72" i="5"/>
  <c r="V5" i="5" s="1"/>
  <c r="V72" i="5"/>
  <c r="U5" i="5" s="1"/>
  <c r="U72" i="5"/>
  <c r="T5" i="5" s="1"/>
  <c r="T72" i="5"/>
  <c r="S72" i="5"/>
  <c r="R5" i="5" s="1"/>
  <c r="P72" i="5"/>
  <c r="O5" i="5" s="1"/>
  <c r="O72" i="5"/>
  <c r="N5" i="5" s="1"/>
  <c r="N72" i="5"/>
  <c r="M5" i="5" s="1"/>
  <c r="M72" i="5"/>
  <c r="L72" i="5"/>
  <c r="K5" i="5" s="1"/>
  <c r="K72" i="5"/>
  <c r="J5" i="5" s="1"/>
  <c r="J72" i="5"/>
  <c r="I72" i="5"/>
  <c r="H72" i="5"/>
  <c r="G5" i="5" s="1"/>
  <c r="G72" i="5"/>
  <c r="F5" i="5" s="1"/>
  <c r="F72" i="5"/>
  <c r="E5" i="5" s="1"/>
  <c r="E72" i="5"/>
  <c r="D5" i="5" s="1"/>
  <c r="D72" i="5"/>
  <c r="C72" i="5"/>
  <c r="B5" i="5" s="1"/>
  <c r="B72" i="5"/>
  <c r="AF5" i="5" s="1"/>
  <c r="AI71" i="5"/>
  <c r="AH71" i="5"/>
  <c r="AI70" i="5"/>
  <c r="AH70" i="5"/>
  <c r="AI69" i="5"/>
  <c r="AH69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G60" i="5"/>
  <c r="AG4" i="5" s="1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P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I59" i="5"/>
  <c r="AH59" i="5"/>
  <c r="AI58" i="5"/>
  <c r="AH58" i="5"/>
  <c r="AI57" i="5"/>
  <c r="AH57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P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I55" i="5"/>
  <c r="AH55" i="5"/>
  <c r="AG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G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P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I41" i="5"/>
  <c r="AH41" i="5"/>
  <c r="AI40" i="5"/>
  <c r="AH40" i="5"/>
  <c r="AI39" i="5"/>
  <c r="AH39" i="5"/>
  <c r="AG38" i="5"/>
  <c r="AD38" i="5"/>
  <c r="AC38" i="5"/>
  <c r="AB38" i="5"/>
  <c r="AA38" i="5"/>
  <c r="Z38" i="5"/>
  <c r="Z77" i="5" s="1"/>
  <c r="Z79" i="5" s="1"/>
  <c r="Z80" i="5" s="1"/>
  <c r="Y38" i="5"/>
  <c r="X38" i="5"/>
  <c r="W38" i="5"/>
  <c r="V38" i="5"/>
  <c r="U38" i="5"/>
  <c r="T38" i="5"/>
  <c r="T77" i="5" s="1"/>
  <c r="T79" i="5" s="1"/>
  <c r="S38" i="5"/>
  <c r="P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Y5" i="5"/>
  <c r="S5" i="5"/>
  <c r="Q5" i="5"/>
  <c r="L5" i="5"/>
  <c r="C5" i="5"/>
  <c r="K4" i="5"/>
  <c r="B4" i="5"/>
  <c r="AG3" i="5"/>
  <c r="AG2" i="5"/>
  <c r="AD100" i="1"/>
  <c r="AD99" i="1"/>
  <c r="AC100" i="1"/>
  <c r="AC99" i="1"/>
  <c r="Z100" i="1"/>
  <c r="Y100" i="1"/>
  <c r="X100" i="1"/>
  <c r="R100" i="1"/>
  <c r="Q100" i="1"/>
  <c r="P100" i="1"/>
  <c r="O100" i="1"/>
  <c r="N100" i="1"/>
  <c r="AK24" i="1"/>
  <c r="AG38" i="1"/>
  <c r="M100" i="1"/>
  <c r="E4" i="5"/>
  <c r="AF87" i="5" l="1"/>
  <c r="AD5" i="5"/>
  <c r="AD77" i="5"/>
  <c r="AD79" i="5" s="1"/>
  <c r="AV235" i="5" s="1"/>
  <c r="AC88" i="5"/>
  <c r="AC77" i="5"/>
  <c r="AC79" i="5" s="1"/>
  <c r="AU235" i="5" s="1"/>
  <c r="AB88" i="5"/>
  <c r="AB77" i="5"/>
  <c r="AB79" i="5" s="1"/>
  <c r="AB80" i="5" s="1"/>
  <c r="AA77" i="5"/>
  <c r="AA79" i="5" s="1"/>
  <c r="AA7" i="5" s="1"/>
  <c r="Y87" i="5"/>
  <c r="W77" i="5"/>
  <c r="W79" i="5" s="1"/>
  <c r="V77" i="5"/>
  <c r="V79" i="5" s="1"/>
  <c r="U88" i="5"/>
  <c r="U77" i="5"/>
  <c r="U79" i="5" s="1"/>
  <c r="U7" i="5" s="1"/>
  <c r="S77" i="5"/>
  <c r="S79" i="5" s="1"/>
  <c r="S7" i="5" s="1"/>
  <c r="P87" i="5"/>
  <c r="O77" i="5"/>
  <c r="O79" i="5" s="1"/>
  <c r="N77" i="5"/>
  <c r="N79" i="5" s="1"/>
  <c r="AH42" i="5"/>
  <c r="M87" i="5"/>
  <c r="M88" i="5"/>
  <c r="M77" i="5"/>
  <c r="M79" i="5" s="1"/>
  <c r="M80" i="5" s="1"/>
  <c r="L77" i="5"/>
  <c r="L79" i="5" s="1"/>
  <c r="K77" i="5"/>
  <c r="K79" i="5" s="1"/>
  <c r="K7" i="5" s="1"/>
  <c r="J87" i="5"/>
  <c r="J88" i="5" s="1"/>
  <c r="I5" i="5"/>
  <c r="J77" i="5"/>
  <c r="J79" i="5" s="1"/>
  <c r="J7" i="5" s="1"/>
  <c r="H87" i="5"/>
  <c r="G77" i="5"/>
  <c r="G79" i="5" s="1"/>
  <c r="F77" i="5"/>
  <c r="F79" i="5" s="1"/>
  <c r="X235" i="5" s="1"/>
  <c r="D87" i="5"/>
  <c r="D88" i="5" s="1"/>
  <c r="E87" i="5"/>
  <c r="E88" i="5" s="1"/>
  <c r="AI85" i="5"/>
  <c r="AH85" i="5"/>
  <c r="D77" i="5"/>
  <c r="D79" i="5" s="1"/>
  <c r="D80" i="5" s="1"/>
  <c r="AI42" i="5"/>
  <c r="E77" i="5"/>
  <c r="E79" i="5" s="1"/>
  <c r="E80" i="5" s="1"/>
  <c r="AH84" i="5"/>
  <c r="C77" i="5"/>
  <c r="C79" i="5" s="1"/>
  <c r="C7" i="5" s="1"/>
  <c r="B77" i="5"/>
  <c r="H4" i="5"/>
  <c r="AE235" i="5"/>
  <c r="M7" i="5"/>
  <c r="AM235" i="5"/>
  <c r="AD7" i="5"/>
  <c r="F7" i="5"/>
  <c r="AF235" i="5"/>
  <c r="N7" i="5"/>
  <c r="N80" i="5"/>
  <c r="J80" i="5"/>
  <c r="V87" i="5"/>
  <c r="V80" i="5" s="1"/>
  <c r="AG235" i="5"/>
  <c r="O7" i="5"/>
  <c r="AJ235" i="5"/>
  <c r="H5" i="5"/>
  <c r="I88" i="5"/>
  <c r="F87" i="5"/>
  <c r="R7" i="5"/>
  <c r="H77" i="5"/>
  <c r="H79" i="5" s="1"/>
  <c r="P77" i="5"/>
  <c r="P79" i="5" s="1"/>
  <c r="X77" i="5"/>
  <c r="X79" i="5" s="1"/>
  <c r="AF77" i="5"/>
  <c r="AF79" i="5" s="1"/>
  <c r="G87" i="5"/>
  <c r="G88" i="5" s="1"/>
  <c r="O87" i="5"/>
  <c r="W87" i="5"/>
  <c r="W88" i="5" s="1"/>
  <c r="AE87" i="5"/>
  <c r="AE88" i="5" s="1"/>
  <c r="E215" i="5"/>
  <c r="AR235" i="5"/>
  <c r="P5" i="5"/>
  <c r="N87" i="5"/>
  <c r="N88" i="5" s="1"/>
  <c r="Y235" i="5"/>
  <c r="G7" i="5"/>
  <c r="AF88" i="5"/>
  <c r="I77" i="5"/>
  <c r="I79" i="5" s="1"/>
  <c r="C230" i="5" s="1"/>
  <c r="Y77" i="5"/>
  <c r="Y79" i="5" s="1"/>
  <c r="AG77" i="5"/>
  <c r="AH60" i="5"/>
  <c r="AI83" i="5"/>
  <c r="H88" i="5"/>
  <c r="AN235" i="5"/>
  <c r="V7" i="5"/>
  <c r="X88" i="5"/>
  <c r="X5" i="5"/>
  <c r="Y88" i="5"/>
  <c r="AD87" i="5"/>
  <c r="AD88" i="5" s="1"/>
  <c r="AO235" i="5"/>
  <c r="W7" i="5"/>
  <c r="AG6" i="5"/>
  <c r="Z7" i="5"/>
  <c r="B79" i="5"/>
  <c r="AI82" i="5"/>
  <c r="S232" i="5"/>
  <c r="D232" i="5"/>
  <c r="AC235" i="5"/>
  <c r="AK235" i="5"/>
  <c r="AS235" i="5"/>
  <c r="AI56" i="5"/>
  <c r="V88" i="5"/>
  <c r="AI81" i="5"/>
  <c r="P88" i="5"/>
  <c r="E256" i="5"/>
  <c r="G220" i="5"/>
  <c r="AW235" i="5"/>
  <c r="AE7" i="5"/>
  <c r="L80" i="5"/>
  <c r="AD235" i="5"/>
  <c r="L7" i="5"/>
  <c r="T80" i="5"/>
  <c r="T7" i="5"/>
  <c r="AL235" i="5"/>
  <c r="AT235" i="5"/>
  <c r="C87" i="5"/>
  <c r="C80" i="5" s="1"/>
  <c r="K87" i="5"/>
  <c r="K80" i="5" s="1"/>
  <c r="S87" i="5"/>
  <c r="S88" i="5" s="1"/>
  <c r="AA87" i="5"/>
  <c r="AA88" i="5" s="1"/>
  <c r="D98" i="5"/>
  <c r="AI38" i="5"/>
  <c r="AI84" i="5"/>
  <c r="AH56" i="5"/>
  <c r="AH81" i="5"/>
  <c r="AI60" i="5"/>
  <c r="AI72" i="5"/>
  <c r="AH82" i="5"/>
  <c r="AH72" i="5"/>
  <c r="B87" i="5"/>
  <c r="B88" i="5" s="1"/>
  <c r="AH83" i="5"/>
  <c r="AH38" i="5"/>
  <c r="B4" i="1"/>
  <c r="S232" i="1" s="1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C256" i="4"/>
  <c r="B256" i="4"/>
  <c r="S23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D221" i="4"/>
  <c r="C221" i="4"/>
  <c r="F220" i="4"/>
  <c r="E256" i="4" s="1"/>
  <c r="E220" i="4"/>
  <c r="D256" i="4" s="1"/>
  <c r="D220" i="4"/>
  <c r="B220" i="4"/>
  <c r="AF256" i="4" s="1"/>
  <c r="D219" i="4"/>
  <c r="E219" i="4" s="1"/>
  <c r="F219" i="4" s="1"/>
  <c r="G219" i="4" s="1"/>
  <c r="H219" i="4" s="1"/>
  <c r="I219" i="4" s="1"/>
  <c r="J219" i="4" s="1"/>
  <c r="K219" i="4" s="1"/>
  <c r="L219" i="4" s="1"/>
  <c r="M219" i="4" s="1"/>
  <c r="N219" i="4" s="1"/>
  <c r="O219" i="4" s="1"/>
  <c r="P219" i="4" s="1"/>
  <c r="B219" i="4"/>
  <c r="D218" i="4"/>
  <c r="E218" i="4" s="1"/>
  <c r="F218" i="4" s="1"/>
  <c r="G218" i="4" s="1"/>
  <c r="H218" i="4" s="1"/>
  <c r="I218" i="4" s="1"/>
  <c r="J218" i="4" s="1"/>
  <c r="K218" i="4" s="1"/>
  <c r="L218" i="4" s="1"/>
  <c r="M218" i="4" s="1"/>
  <c r="N218" i="4" s="1"/>
  <c r="O218" i="4" s="1"/>
  <c r="P218" i="4" s="1"/>
  <c r="B218" i="4"/>
  <c r="E217" i="4"/>
  <c r="F217" i="4" s="1"/>
  <c r="G217" i="4" s="1"/>
  <c r="H217" i="4" s="1"/>
  <c r="I217" i="4" s="1"/>
  <c r="J217" i="4" s="1"/>
  <c r="K217" i="4" s="1"/>
  <c r="L217" i="4" s="1"/>
  <c r="M217" i="4" s="1"/>
  <c r="N217" i="4" s="1"/>
  <c r="O217" i="4" s="1"/>
  <c r="P217" i="4" s="1"/>
  <c r="D217" i="4"/>
  <c r="B217" i="4"/>
  <c r="F216" i="4"/>
  <c r="G216" i="4" s="1"/>
  <c r="H216" i="4" s="1"/>
  <c r="I216" i="4" s="1"/>
  <c r="J216" i="4" s="1"/>
  <c r="K216" i="4" s="1"/>
  <c r="L216" i="4" s="1"/>
  <c r="M216" i="4" s="1"/>
  <c r="N216" i="4" s="1"/>
  <c r="O216" i="4" s="1"/>
  <c r="P216" i="4" s="1"/>
  <c r="E216" i="4"/>
  <c r="D216" i="4"/>
  <c r="B216" i="4"/>
  <c r="D215" i="4"/>
  <c r="E215" i="4" s="1"/>
  <c r="B215" i="4"/>
  <c r="B221" i="4" s="1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H106" i="4"/>
  <c r="AI106" i="4" s="1"/>
  <c r="AH105" i="4"/>
  <c r="AI105" i="4" s="1"/>
  <c r="AH104" i="4"/>
  <c r="AI104" i="4" s="1"/>
  <c r="AH103" i="4"/>
  <c r="AI103" i="4" s="1"/>
  <c r="AH102" i="4"/>
  <c r="AI102" i="4" s="1"/>
  <c r="AH101" i="4"/>
  <c r="AI101" i="4" s="1"/>
  <c r="AH100" i="4"/>
  <c r="AI100" i="4" s="1"/>
  <c r="AH99" i="4"/>
  <c r="AI99" i="4" s="1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D98" i="4"/>
  <c r="C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6" i="4"/>
  <c r="AH86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AI83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F81" i="4"/>
  <c r="AE81" i="4"/>
  <c r="AE87" i="4" s="1"/>
  <c r="AD81" i="4"/>
  <c r="AC81" i="4"/>
  <c r="AB81" i="4"/>
  <c r="AA81" i="4"/>
  <c r="Z81" i="4"/>
  <c r="Y81" i="4"/>
  <c r="X81" i="4"/>
  <c r="W81" i="4"/>
  <c r="W87" i="4" s="1"/>
  <c r="V81" i="4"/>
  <c r="U81" i="4"/>
  <c r="T81" i="4"/>
  <c r="S81" i="4"/>
  <c r="R81" i="4"/>
  <c r="Q81" i="4"/>
  <c r="P81" i="4"/>
  <c r="O81" i="4"/>
  <c r="O87" i="4" s="1"/>
  <c r="N81" i="4"/>
  <c r="N87" i="4" s="1"/>
  <c r="M81" i="4"/>
  <c r="L81" i="4"/>
  <c r="K81" i="4"/>
  <c r="J81" i="4"/>
  <c r="I81" i="4"/>
  <c r="H81" i="4"/>
  <c r="G81" i="4"/>
  <c r="G87" i="4" s="1"/>
  <c r="F81" i="4"/>
  <c r="E81" i="4"/>
  <c r="E87" i="4" s="1"/>
  <c r="D81" i="4"/>
  <c r="D87" i="4" s="1"/>
  <c r="C81" i="4"/>
  <c r="AI78" i="4"/>
  <c r="AH78" i="4"/>
  <c r="AI76" i="4"/>
  <c r="AH76" i="4"/>
  <c r="AG76" i="4"/>
  <c r="AG79" i="4" s="1"/>
  <c r="AI75" i="4"/>
  <c r="AH75" i="4"/>
  <c r="AI74" i="4"/>
  <c r="AH74" i="4"/>
  <c r="AI73" i="4"/>
  <c r="AH73" i="4"/>
  <c r="AG72" i="4"/>
  <c r="AF72" i="4"/>
  <c r="AE72" i="4"/>
  <c r="AD5" i="4" s="1"/>
  <c r="AD72" i="4"/>
  <c r="AC5" i="4" s="1"/>
  <c r="AC72" i="4"/>
  <c r="AB5" i="4" s="1"/>
  <c r="AB72" i="4"/>
  <c r="AA72" i="4"/>
  <c r="Z72" i="4"/>
  <c r="Y72" i="4"/>
  <c r="X72" i="4"/>
  <c r="W72" i="4"/>
  <c r="V72" i="4"/>
  <c r="U5" i="4" s="1"/>
  <c r="U72" i="4"/>
  <c r="T72" i="4"/>
  <c r="S72" i="4"/>
  <c r="Q72" i="4"/>
  <c r="P72" i="4"/>
  <c r="O72" i="4"/>
  <c r="N5" i="4" s="1"/>
  <c r="N72" i="4"/>
  <c r="M72" i="4"/>
  <c r="L5" i="4" s="1"/>
  <c r="L72" i="4"/>
  <c r="K72" i="4"/>
  <c r="J72" i="4"/>
  <c r="I72" i="4"/>
  <c r="H5" i="4" s="1"/>
  <c r="H72" i="4"/>
  <c r="G72" i="4"/>
  <c r="F5" i="4" s="1"/>
  <c r="F72" i="4"/>
  <c r="E5" i="4" s="1"/>
  <c r="E72" i="4"/>
  <c r="D5" i="4" s="1"/>
  <c r="D72" i="4"/>
  <c r="C5" i="4" s="1"/>
  <c r="C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AI59" i="4"/>
  <c r="AH59" i="4"/>
  <c r="AI58" i="4"/>
  <c r="AH58" i="4"/>
  <c r="AI57" i="4"/>
  <c r="AH57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I55" i="4"/>
  <c r="AH55" i="4"/>
  <c r="AG55" i="4"/>
  <c r="AG56" i="4" s="1"/>
  <c r="AG3" i="4" s="1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I41" i="4"/>
  <c r="AH41" i="4"/>
  <c r="AI40" i="4"/>
  <c r="AH40" i="4"/>
  <c r="AI39" i="4"/>
  <c r="AH39" i="4"/>
  <c r="AG38" i="4"/>
  <c r="AE38" i="4"/>
  <c r="AD38" i="4"/>
  <c r="AC38" i="4"/>
  <c r="AB38" i="4"/>
  <c r="AA38" i="4"/>
  <c r="Z38" i="4"/>
  <c r="Y38" i="4"/>
  <c r="X38" i="4"/>
  <c r="W38" i="4"/>
  <c r="W77" i="4" s="1"/>
  <c r="W79" i="4" s="1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H77" i="4" s="1"/>
  <c r="H79" i="4" s="1"/>
  <c r="G38" i="4"/>
  <c r="F38" i="4"/>
  <c r="E38" i="4"/>
  <c r="D38" i="4"/>
  <c r="C38" i="4"/>
  <c r="C77" i="4" s="1"/>
  <c r="C79" i="4" s="1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V5" i="4"/>
  <c r="T5" i="4"/>
  <c r="S5" i="4"/>
  <c r="M5" i="4"/>
  <c r="AG4" i="4"/>
  <c r="K4" i="4"/>
  <c r="B4" i="4"/>
  <c r="S232" i="4" s="1"/>
  <c r="AG2" i="4"/>
  <c r="AG6" i="4" s="1"/>
  <c r="B98" i="1"/>
  <c r="B85" i="1"/>
  <c r="B84" i="1"/>
  <c r="B83" i="1"/>
  <c r="B82" i="1"/>
  <c r="B81" i="1"/>
  <c r="B72" i="1"/>
  <c r="AF5" i="1" s="1"/>
  <c r="B60" i="1"/>
  <c r="B56" i="1"/>
  <c r="B42" i="1"/>
  <c r="B38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B256" i="1"/>
  <c r="S23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C221" i="1"/>
  <c r="E220" i="1"/>
  <c r="D256" i="1" s="1"/>
  <c r="D220" i="1"/>
  <c r="C256" i="1" s="1"/>
  <c r="B220" i="1"/>
  <c r="AF256" i="1" s="1"/>
  <c r="D219" i="1"/>
  <c r="E219" i="1" s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B219" i="1"/>
  <c r="D218" i="1"/>
  <c r="E218" i="1" s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B218" i="1"/>
  <c r="D217" i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B217" i="1"/>
  <c r="E216" i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D216" i="1"/>
  <c r="B216" i="1"/>
  <c r="E215" i="1"/>
  <c r="F215" i="1" s="1"/>
  <c r="D215" i="1"/>
  <c r="D221" i="1" s="1"/>
  <c r="B215" i="1"/>
  <c r="B221" i="1" s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H106" i="1"/>
  <c r="AI106" i="1" s="1"/>
  <c r="AH105" i="1"/>
  <c r="AI105" i="1" s="1"/>
  <c r="AH104" i="1"/>
  <c r="AI104" i="1" s="1"/>
  <c r="AH103" i="1"/>
  <c r="AI103" i="1" s="1"/>
  <c r="AH102" i="1"/>
  <c r="AI102" i="1" s="1"/>
  <c r="AH101" i="1"/>
  <c r="AI101" i="1" s="1"/>
  <c r="AH100" i="1"/>
  <c r="AI100" i="1" s="1"/>
  <c r="AH99" i="1"/>
  <c r="AI99" i="1" s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D98" i="1"/>
  <c r="C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6" i="1"/>
  <c r="AH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F82" i="1"/>
  <c r="AE82" i="1"/>
  <c r="AE87" i="1" s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F81" i="1"/>
  <c r="AE81" i="1"/>
  <c r="AD81" i="1"/>
  <c r="AD87" i="1" s="1"/>
  <c r="AC81" i="1"/>
  <c r="AB81" i="1"/>
  <c r="AA81" i="1"/>
  <c r="Z81" i="1"/>
  <c r="Y81" i="1"/>
  <c r="X81" i="1"/>
  <c r="W81" i="1"/>
  <c r="V81" i="1"/>
  <c r="U81" i="1"/>
  <c r="T81" i="1"/>
  <c r="S81" i="1"/>
  <c r="R81" i="1"/>
  <c r="R87" i="1" s="1"/>
  <c r="Q81" i="1"/>
  <c r="P81" i="1"/>
  <c r="P87" i="1" s="1"/>
  <c r="O81" i="1"/>
  <c r="N81" i="1"/>
  <c r="M81" i="1"/>
  <c r="L81" i="1"/>
  <c r="K81" i="1"/>
  <c r="K87" i="1" s="1"/>
  <c r="J81" i="1"/>
  <c r="I81" i="1"/>
  <c r="H81" i="1"/>
  <c r="H87" i="1" s="1"/>
  <c r="G81" i="1"/>
  <c r="F81" i="1"/>
  <c r="E81" i="1"/>
  <c r="E87" i="1" s="1"/>
  <c r="D81" i="1"/>
  <c r="C81" i="1"/>
  <c r="AI78" i="1"/>
  <c r="AH78" i="1"/>
  <c r="AI76" i="1"/>
  <c r="AH76" i="1"/>
  <c r="AG76" i="1"/>
  <c r="AI75" i="1"/>
  <c r="AH75" i="1"/>
  <c r="AI74" i="1"/>
  <c r="AH74" i="1"/>
  <c r="AI73" i="1"/>
  <c r="AH73" i="1"/>
  <c r="AG72" i="1"/>
  <c r="AF72" i="1"/>
  <c r="AE5" i="1" s="1"/>
  <c r="AE72" i="1"/>
  <c r="AD5" i="1" s="1"/>
  <c r="AD72" i="1"/>
  <c r="AC5" i="1" s="1"/>
  <c r="AC72" i="1"/>
  <c r="AB5" i="1" s="1"/>
  <c r="AB72" i="1"/>
  <c r="AA72" i="1"/>
  <c r="Z72" i="1"/>
  <c r="Y72" i="1"/>
  <c r="X5" i="1" s="1"/>
  <c r="X72" i="1"/>
  <c r="W5" i="1" s="1"/>
  <c r="W72" i="1"/>
  <c r="V5" i="1" s="1"/>
  <c r="V72" i="1"/>
  <c r="U5" i="1" s="1"/>
  <c r="U72" i="1"/>
  <c r="T72" i="1"/>
  <c r="S72" i="1"/>
  <c r="R72" i="1"/>
  <c r="R88" i="1" s="1"/>
  <c r="Q72" i="1"/>
  <c r="P5" i="1" s="1"/>
  <c r="P72" i="1"/>
  <c r="O5" i="1" s="1"/>
  <c r="O72" i="1"/>
  <c r="N5" i="1" s="1"/>
  <c r="N72" i="1"/>
  <c r="M5" i="1" s="1"/>
  <c r="M72" i="1"/>
  <c r="L72" i="1"/>
  <c r="K5" i="1" s="1"/>
  <c r="K72" i="1"/>
  <c r="K88" i="1" s="1"/>
  <c r="J72" i="1"/>
  <c r="I72" i="1"/>
  <c r="H72" i="1"/>
  <c r="G5" i="1" s="1"/>
  <c r="G72" i="1"/>
  <c r="F5" i="1" s="1"/>
  <c r="F72" i="1"/>
  <c r="E5" i="1" s="1"/>
  <c r="E72" i="1"/>
  <c r="E88" i="1" s="1"/>
  <c r="D72" i="1"/>
  <c r="C5" i="1" s="1"/>
  <c r="C72" i="1"/>
  <c r="AI71" i="1"/>
  <c r="AH71" i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I59" i="1"/>
  <c r="AH59" i="1"/>
  <c r="AI58" i="1"/>
  <c r="AH58" i="1"/>
  <c r="AI57" i="1"/>
  <c r="AH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I55" i="1"/>
  <c r="AH55" i="1"/>
  <c r="AG55" i="1"/>
  <c r="AG56" i="1" s="1"/>
  <c r="AG3" i="1" s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I41" i="1"/>
  <c r="AH41" i="1"/>
  <c r="AI40" i="1"/>
  <c r="AH40" i="1"/>
  <c r="AI39" i="1"/>
  <c r="AH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Y5" i="1"/>
  <c r="AG4" i="1"/>
  <c r="K4" i="1"/>
  <c r="AG2" i="1"/>
  <c r="AG6" i="1" s="1"/>
  <c r="E4" i="1"/>
  <c r="E4" i="4"/>
  <c r="AF87" i="4" l="1"/>
  <c r="AF88" i="4" s="1"/>
  <c r="AF77" i="4"/>
  <c r="AF79" i="4" s="1"/>
  <c r="AE5" i="4"/>
  <c r="AE77" i="4"/>
  <c r="AE79" i="4" s="1"/>
  <c r="AW235" i="4" s="1"/>
  <c r="AC87" i="4"/>
  <c r="AC88" i="4" s="1"/>
  <c r="AD87" i="4"/>
  <c r="AC77" i="4"/>
  <c r="AC79" i="4" s="1"/>
  <c r="AC7" i="4" s="1"/>
  <c r="AD77" i="4"/>
  <c r="AD79" i="4" s="1"/>
  <c r="AD80" i="4" s="1"/>
  <c r="AB87" i="4"/>
  <c r="AB88" i="4" s="1"/>
  <c r="AA5" i="4"/>
  <c r="AB77" i="4"/>
  <c r="AB79" i="4" s="1"/>
  <c r="AA87" i="4"/>
  <c r="AA88" i="4" s="1"/>
  <c r="Z5" i="4"/>
  <c r="AA77" i="4"/>
  <c r="AA79" i="4" s="1"/>
  <c r="AA80" i="4" s="1"/>
  <c r="Z87" i="4"/>
  <c r="Z88" i="4" s="1"/>
  <c r="Y5" i="4"/>
  <c r="Z77" i="4"/>
  <c r="Z79" i="4" s="1"/>
  <c r="Y87" i="4"/>
  <c r="Y88" i="4" s="1"/>
  <c r="X5" i="4"/>
  <c r="Y77" i="4"/>
  <c r="Y79" i="4" s="1"/>
  <c r="Y7" i="4" s="1"/>
  <c r="X77" i="4"/>
  <c r="X79" i="4" s="1"/>
  <c r="X87" i="4"/>
  <c r="X88" i="4" s="1"/>
  <c r="W5" i="4"/>
  <c r="V87" i="4"/>
  <c r="V77" i="4"/>
  <c r="V79" i="4" s="1"/>
  <c r="U87" i="4"/>
  <c r="U77" i="4"/>
  <c r="U79" i="4" s="1"/>
  <c r="AM235" i="4" s="1"/>
  <c r="T87" i="4"/>
  <c r="T88" i="4" s="1"/>
  <c r="T77" i="4"/>
  <c r="T79" i="4" s="1"/>
  <c r="T7" i="4" s="1"/>
  <c r="S87" i="4"/>
  <c r="S88" i="4" s="1"/>
  <c r="R5" i="4"/>
  <c r="S77" i="4"/>
  <c r="S79" i="4" s="1"/>
  <c r="S80" i="4" s="1"/>
  <c r="R87" i="4"/>
  <c r="Q5" i="4"/>
  <c r="R77" i="4"/>
  <c r="R79" i="4" s="1"/>
  <c r="Q87" i="4"/>
  <c r="Q88" i="4" s="1"/>
  <c r="P5" i="4"/>
  <c r="Q77" i="4"/>
  <c r="Q79" i="4" s="1"/>
  <c r="Q80" i="4" s="1"/>
  <c r="P87" i="4"/>
  <c r="P88" i="4" s="1"/>
  <c r="O5" i="4"/>
  <c r="P77" i="4"/>
  <c r="P79" i="4" s="1"/>
  <c r="P7" i="4" s="1"/>
  <c r="O77" i="4"/>
  <c r="O79" i="4" s="1"/>
  <c r="AG235" i="4" s="1"/>
  <c r="N77" i="4"/>
  <c r="N79" i="4" s="1"/>
  <c r="N7" i="4" s="1"/>
  <c r="M87" i="4"/>
  <c r="M77" i="4"/>
  <c r="M79" i="4" s="1"/>
  <c r="M80" i="4" s="1"/>
  <c r="L87" i="4"/>
  <c r="L88" i="4" s="1"/>
  <c r="K5" i="4"/>
  <c r="L77" i="4"/>
  <c r="L79" i="4" s="1"/>
  <c r="AD235" i="4" s="1"/>
  <c r="K87" i="4"/>
  <c r="K88" i="4" s="1"/>
  <c r="J5" i="4"/>
  <c r="K77" i="4"/>
  <c r="K79" i="4" s="1"/>
  <c r="AC235" i="4" s="1"/>
  <c r="J87" i="4"/>
  <c r="J88" i="4" s="1"/>
  <c r="I5" i="4"/>
  <c r="J77" i="4"/>
  <c r="J79" i="4" s="1"/>
  <c r="I77" i="4"/>
  <c r="I79" i="4" s="1"/>
  <c r="AA235" i="4" s="1"/>
  <c r="H87" i="4"/>
  <c r="H88" i="4" s="1"/>
  <c r="AI82" i="4"/>
  <c r="G5" i="4"/>
  <c r="G77" i="4"/>
  <c r="G79" i="4" s="1"/>
  <c r="Y235" i="4" s="1"/>
  <c r="AI85" i="4"/>
  <c r="F87" i="4"/>
  <c r="AI60" i="4"/>
  <c r="F77" i="4"/>
  <c r="F79" i="4" s="1"/>
  <c r="F7" i="4" s="1"/>
  <c r="AH42" i="4"/>
  <c r="E77" i="4"/>
  <c r="E79" i="4" s="1"/>
  <c r="W235" i="4" s="1"/>
  <c r="AI84" i="4"/>
  <c r="AH84" i="4"/>
  <c r="D88" i="4"/>
  <c r="AH81" i="4"/>
  <c r="AI81" i="4"/>
  <c r="B5" i="4"/>
  <c r="C87" i="4"/>
  <c r="C88" i="4" s="1"/>
  <c r="AI56" i="4"/>
  <c r="D77" i="4"/>
  <c r="D79" i="4" s="1"/>
  <c r="AB7" i="5"/>
  <c r="AC7" i="5"/>
  <c r="AC80" i="5"/>
  <c r="AA80" i="5"/>
  <c r="U80" i="5"/>
  <c r="K88" i="5"/>
  <c r="AB235" i="5"/>
  <c r="B230" i="5"/>
  <c r="G80" i="5"/>
  <c r="F80" i="5"/>
  <c r="F88" i="5"/>
  <c r="W235" i="5"/>
  <c r="V235" i="5"/>
  <c r="D7" i="5"/>
  <c r="E7" i="5"/>
  <c r="C88" i="5"/>
  <c r="U235" i="5"/>
  <c r="AH77" i="5"/>
  <c r="AI77" i="5"/>
  <c r="K6" i="5"/>
  <c r="F215" i="5"/>
  <c r="E221" i="5"/>
  <c r="E98" i="5"/>
  <c r="AD80" i="5"/>
  <c r="AX235" i="5"/>
  <c r="AF7" i="5"/>
  <c r="AF80" i="5"/>
  <c r="S80" i="5"/>
  <c r="B80" i="5"/>
  <c r="AI79" i="5"/>
  <c r="B7" i="5"/>
  <c r="T235" i="5"/>
  <c r="AH79" i="5"/>
  <c r="AP235" i="5"/>
  <c r="X7" i="5"/>
  <c r="X80" i="5"/>
  <c r="O88" i="5"/>
  <c r="AI88" i="5" s="1"/>
  <c r="O80" i="5"/>
  <c r="AH235" i="5"/>
  <c r="P7" i="5"/>
  <c r="P80" i="5"/>
  <c r="AE80" i="5"/>
  <c r="H220" i="5"/>
  <c r="F256" i="5"/>
  <c r="Y80" i="5"/>
  <c r="AQ235" i="5"/>
  <c r="Y7" i="5"/>
  <c r="Z235" i="5"/>
  <c r="H7" i="5"/>
  <c r="H80" i="5"/>
  <c r="W80" i="5"/>
  <c r="AI235" i="5"/>
  <c r="Q7" i="5"/>
  <c r="AI87" i="5"/>
  <c r="AH87" i="5"/>
  <c r="I80" i="5"/>
  <c r="AA235" i="5"/>
  <c r="I7" i="5"/>
  <c r="AF77" i="1"/>
  <c r="AF79" i="1" s="1"/>
  <c r="AF87" i="1"/>
  <c r="AE77" i="1"/>
  <c r="AE79" i="1" s="1"/>
  <c r="AD88" i="1"/>
  <c r="AD77" i="1"/>
  <c r="AD79" i="1" s="1"/>
  <c r="AC87" i="1"/>
  <c r="AC88" i="1" s="1"/>
  <c r="AC77" i="1"/>
  <c r="AC79" i="1" s="1"/>
  <c r="AB87" i="1"/>
  <c r="AB88" i="1" s="1"/>
  <c r="AA5" i="1"/>
  <c r="AB77" i="1"/>
  <c r="AB79" i="1" s="1"/>
  <c r="AA87" i="1"/>
  <c r="AA88" i="1" s="1"/>
  <c r="Z5" i="1"/>
  <c r="AA77" i="1"/>
  <c r="AA79" i="1" s="1"/>
  <c r="Z87" i="1"/>
  <c r="Z88" i="1" s="1"/>
  <c r="Z77" i="1"/>
  <c r="Z79" i="1" s="1"/>
  <c r="Y87" i="1"/>
  <c r="Y88" i="1"/>
  <c r="Y77" i="1"/>
  <c r="Y79" i="1" s="1"/>
  <c r="X77" i="1"/>
  <c r="X79" i="1" s="1"/>
  <c r="X87" i="1"/>
  <c r="W87" i="1"/>
  <c r="V87" i="1"/>
  <c r="V88" i="1" s="1"/>
  <c r="V77" i="1"/>
  <c r="V79" i="1" s="1"/>
  <c r="U87" i="1"/>
  <c r="U88" i="1" s="1"/>
  <c r="T5" i="1"/>
  <c r="U77" i="1"/>
  <c r="U79" i="1" s="1"/>
  <c r="W77" i="1"/>
  <c r="W79" i="1" s="1"/>
  <c r="W7" i="1" s="1"/>
  <c r="T87" i="1"/>
  <c r="T88" i="1"/>
  <c r="S5" i="1"/>
  <c r="T77" i="1"/>
  <c r="T79" i="1" s="1"/>
  <c r="S87" i="1"/>
  <c r="S88" i="1" s="1"/>
  <c r="R5" i="1"/>
  <c r="S77" i="1"/>
  <c r="S79" i="1" s="1"/>
  <c r="Q5" i="1"/>
  <c r="R77" i="1"/>
  <c r="R79" i="1" s="1"/>
  <c r="Q87" i="1"/>
  <c r="Q88" i="1" s="1"/>
  <c r="Q77" i="1"/>
  <c r="Q79" i="1" s="1"/>
  <c r="Q80" i="1" s="1"/>
  <c r="P77" i="1"/>
  <c r="P79" i="1" s="1"/>
  <c r="O87" i="1"/>
  <c r="O77" i="1"/>
  <c r="O79" i="1" s="1"/>
  <c r="N87" i="1"/>
  <c r="N88" i="1" s="1"/>
  <c r="N77" i="1"/>
  <c r="N79" i="1" s="1"/>
  <c r="L5" i="1"/>
  <c r="M87" i="1"/>
  <c r="M88" i="1" s="1"/>
  <c r="M77" i="1"/>
  <c r="M79" i="1" s="1"/>
  <c r="AE235" i="1" s="1"/>
  <c r="L87" i="1"/>
  <c r="L88" i="1" s="1"/>
  <c r="L77" i="1"/>
  <c r="L79" i="1" s="1"/>
  <c r="J5" i="1"/>
  <c r="K77" i="1"/>
  <c r="K79" i="1" s="1"/>
  <c r="J87" i="1"/>
  <c r="J88" i="1" s="1"/>
  <c r="I5" i="1"/>
  <c r="J77" i="1"/>
  <c r="J79" i="1" s="1"/>
  <c r="J7" i="1" s="1"/>
  <c r="I87" i="1"/>
  <c r="I88" i="1" s="1"/>
  <c r="H5" i="1"/>
  <c r="I77" i="1"/>
  <c r="I79" i="1" s="1"/>
  <c r="H77" i="1"/>
  <c r="H79" i="1" s="1"/>
  <c r="G87" i="1"/>
  <c r="AI60" i="1"/>
  <c r="G77" i="1"/>
  <c r="G79" i="1" s="1"/>
  <c r="G7" i="1" s="1"/>
  <c r="AH42" i="1"/>
  <c r="AI83" i="1"/>
  <c r="F87" i="1"/>
  <c r="F88" i="1" s="1"/>
  <c r="F77" i="1"/>
  <c r="F79" i="1" s="1"/>
  <c r="X235" i="1" s="1"/>
  <c r="AH83" i="1"/>
  <c r="D5" i="1"/>
  <c r="E77" i="1"/>
  <c r="E79" i="1" s="1"/>
  <c r="AI56" i="1"/>
  <c r="AI82" i="1"/>
  <c r="D87" i="1"/>
  <c r="D88" i="1" s="1"/>
  <c r="AI85" i="1"/>
  <c r="D77" i="1"/>
  <c r="D79" i="1" s="1"/>
  <c r="D80" i="1" s="1"/>
  <c r="AH84" i="1"/>
  <c r="C87" i="1"/>
  <c r="C88" i="1"/>
  <c r="B5" i="1"/>
  <c r="C77" i="1"/>
  <c r="C79" i="1" s="1"/>
  <c r="C80" i="1" s="1"/>
  <c r="B77" i="1"/>
  <c r="B79" i="1" s="1"/>
  <c r="B80" i="1" s="1"/>
  <c r="B87" i="1"/>
  <c r="B88" i="1" s="1"/>
  <c r="H4" i="4"/>
  <c r="D80" i="4"/>
  <c r="V235" i="4"/>
  <c r="D7" i="4"/>
  <c r="L80" i="4"/>
  <c r="L7" i="4"/>
  <c r="T80" i="4"/>
  <c r="AL235" i="4"/>
  <c r="AB80" i="4"/>
  <c r="AT235" i="4"/>
  <c r="AB7" i="4"/>
  <c r="AF235" i="4"/>
  <c r="F215" i="4"/>
  <c r="E98" i="4"/>
  <c r="E221" i="4"/>
  <c r="AO235" i="4"/>
  <c r="W7" i="4"/>
  <c r="W80" i="4"/>
  <c r="AE80" i="4"/>
  <c r="AU235" i="4"/>
  <c r="AC80" i="4"/>
  <c r="Z235" i="4"/>
  <c r="H7" i="4"/>
  <c r="P80" i="4"/>
  <c r="AH235" i="4"/>
  <c r="X80" i="4"/>
  <c r="AP235" i="4"/>
  <c r="X7" i="4"/>
  <c r="AF80" i="4"/>
  <c r="AX235" i="4"/>
  <c r="AF7" i="4"/>
  <c r="AE235" i="4"/>
  <c r="M7" i="4"/>
  <c r="G7" i="4"/>
  <c r="G80" i="4"/>
  <c r="Y80" i="4"/>
  <c r="AQ235" i="4"/>
  <c r="AG77" i="4"/>
  <c r="E88" i="4"/>
  <c r="M88" i="4"/>
  <c r="U88" i="4"/>
  <c r="U80" i="4"/>
  <c r="J80" i="4"/>
  <c r="AB235" i="4"/>
  <c r="J7" i="4"/>
  <c r="AJ235" i="4"/>
  <c r="R7" i="4"/>
  <c r="AR235" i="4"/>
  <c r="Z7" i="4"/>
  <c r="F88" i="4"/>
  <c r="N88" i="4"/>
  <c r="V88" i="4"/>
  <c r="AD88" i="4"/>
  <c r="AN235" i="4"/>
  <c r="V7" i="4"/>
  <c r="V80" i="4"/>
  <c r="O7" i="4"/>
  <c r="O80" i="4"/>
  <c r="C80" i="4"/>
  <c r="U235" i="4"/>
  <c r="C7" i="4"/>
  <c r="K80" i="4"/>
  <c r="G88" i="4"/>
  <c r="O88" i="4"/>
  <c r="W88" i="4"/>
  <c r="AE88" i="4"/>
  <c r="AI38" i="4"/>
  <c r="AI42" i="4"/>
  <c r="AH85" i="4"/>
  <c r="D232" i="4"/>
  <c r="I87" i="4"/>
  <c r="I88" i="4" s="1"/>
  <c r="G220" i="4"/>
  <c r="AH56" i="4"/>
  <c r="AH60" i="4"/>
  <c r="AH72" i="4"/>
  <c r="AI72" i="4"/>
  <c r="AH82" i="4"/>
  <c r="AH83" i="4"/>
  <c r="AH38" i="4"/>
  <c r="AI81" i="1"/>
  <c r="H4" i="1"/>
  <c r="AM235" i="1"/>
  <c r="U7" i="1"/>
  <c r="U80" i="1"/>
  <c r="AU235" i="1"/>
  <c r="AC7" i="1"/>
  <c r="AC80" i="1"/>
  <c r="AN235" i="1"/>
  <c r="V7" i="1"/>
  <c r="V80" i="1"/>
  <c r="AD80" i="1"/>
  <c r="AV235" i="1"/>
  <c r="AD7" i="1"/>
  <c r="F80" i="1"/>
  <c r="X80" i="1"/>
  <c r="AP235" i="1"/>
  <c r="X7" i="1"/>
  <c r="H80" i="1"/>
  <c r="Z235" i="1"/>
  <c r="H7" i="1"/>
  <c r="AI235" i="1"/>
  <c r="AG77" i="1"/>
  <c r="W235" i="1"/>
  <c r="E7" i="1"/>
  <c r="E80" i="1"/>
  <c r="AW235" i="1"/>
  <c r="AE7" i="1"/>
  <c r="AE80" i="1"/>
  <c r="AF80" i="1"/>
  <c r="AX235" i="1"/>
  <c r="AF7" i="1"/>
  <c r="Y80" i="1"/>
  <c r="AQ235" i="1"/>
  <c r="Y7" i="1"/>
  <c r="J80" i="1"/>
  <c r="AB235" i="1"/>
  <c r="R80" i="1"/>
  <c r="AJ235" i="1"/>
  <c r="R7" i="1"/>
  <c r="Z80" i="1"/>
  <c r="AR235" i="1"/>
  <c r="Z7" i="1"/>
  <c r="Y235" i="1"/>
  <c r="C230" i="1"/>
  <c r="G80" i="1"/>
  <c r="P80" i="1"/>
  <c r="AH235" i="1"/>
  <c r="P7" i="1"/>
  <c r="I80" i="1"/>
  <c r="I7" i="1"/>
  <c r="AA235" i="1"/>
  <c r="K80" i="1"/>
  <c r="AC235" i="1"/>
  <c r="K7" i="1"/>
  <c r="S80" i="1"/>
  <c r="AK235" i="1"/>
  <c r="S7" i="1"/>
  <c r="AA80" i="1"/>
  <c r="AS235" i="1"/>
  <c r="AA7" i="1"/>
  <c r="AG235" i="1"/>
  <c r="O7" i="1"/>
  <c r="O80" i="1"/>
  <c r="L80" i="1"/>
  <c r="AD235" i="1"/>
  <c r="L7" i="1"/>
  <c r="T80" i="1"/>
  <c r="AL235" i="1"/>
  <c r="T7" i="1"/>
  <c r="AB80" i="1"/>
  <c r="AT235" i="1"/>
  <c r="AB7" i="1"/>
  <c r="H88" i="1"/>
  <c r="P88" i="1"/>
  <c r="X88" i="1"/>
  <c r="AF88" i="1"/>
  <c r="AG79" i="1"/>
  <c r="G215" i="1"/>
  <c r="AI38" i="1"/>
  <c r="AI42" i="1"/>
  <c r="AI84" i="1"/>
  <c r="AH85" i="1"/>
  <c r="E221" i="1"/>
  <c r="D232" i="1"/>
  <c r="G88" i="1"/>
  <c r="O88" i="1"/>
  <c r="W88" i="1"/>
  <c r="AE88" i="1"/>
  <c r="F220" i="1"/>
  <c r="E98" i="1"/>
  <c r="AH56" i="1"/>
  <c r="AH60" i="1"/>
  <c r="AH72" i="1"/>
  <c r="AH81" i="1"/>
  <c r="AI72" i="1"/>
  <c r="AH82" i="1"/>
  <c r="AH38" i="1"/>
  <c r="AD7" i="4" l="1"/>
  <c r="AV235" i="4"/>
  <c r="AE7" i="4"/>
  <c r="AA7" i="4"/>
  <c r="AS235" i="4"/>
  <c r="Z80" i="4"/>
  <c r="U7" i="4"/>
  <c r="S7" i="4"/>
  <c r="AK235" i="4"/>
  <c r="R80" i="4"/>
  <c r="R88" i="4"/>
  <c r="Q7" i="4"/>
  <c r="AI235" i="4"/>
  <c r="N80" i="4"/>
  <c r="F80" i="4"/>
  <c r="B230" i="4"/>
  <c r="I7" i="4"/>
  <c r="K7" i="4"/>
  <c r="C230" i="4"/>
  <c r="K6" i="4" s="1"/>
  <c r="H80" i="4"/>
  <c r="X235" i="4"/>
  <c r="AH77" i="4"/>
  <c r="AI77" i="4"/>
  <c r="E80" i="4"/>
  <c r="E7" i="4"/>
  <c r="A7" i="5"/>
  <c r="AH80" i="5"/>
  <c r="F98" i="5"/>
  <c r="G215" i="5"/>
  <c r="F221" i="5"/>
  <c r="G256" i="5"/>
  <c r="I220" i="5"/>
  <c r="AH88" i="5"/>
  <c r="AO235" i="1"/>
  <c r="W80" i="1"/>
  <c r="Q7" i="1"/>
  <c r="B230" i="1"/>
  <c r="N80" i="1"/>
  <c r="AF235" i="1"/>
  <c r="N7" i="1"/>
  <c r="M80" i="1"/>
  <c r="M7" i="1"/>
  <c r="F7" i="1"/>
  <c r="V235" i="1"/>
  <c r="D7" i="1"/>
  <c r="U235" i="1"/>
  <c r="C7" i="1"/>
  <c r="AI77" i="1"/>
  <c r="AH77" i="1"/>
  <c r="I80" i="4"/>
  <c r="AI87" i="4"/>
  <c r="AH87" i="4"/>
  <c r="AI79" i="4"/>
  <c r="AH79" i="4"/>
  <c r="T235" i="4"/>
  <c r="B7" i="4"/>
  <c r="G215" i="4"/>
  <c r="F98" i="4"/>
  <c r="F221" i="4"/>
  <c r="F256" i="4"/>
  <c r="H220" i="4"/>
  <c r="K6" i="1"/>
  <c r="AI79" i="1"/>
  <c r="AH79" i="1"/>
  <c r="T235" i="1"/>
  <c r="B7" i="1"/>
  <c r="AI87" i="1"/>
  <c r="AH87" i="1"/>
  <c r="E256" i="1"/>
  <c r="G220" i="1"/>
  <c r="H215" i="1"/>
  <c r="G98" i="1"/>
  <c r="G221" i="1"/>
  <c r="F221" i="1"/>
  <c r="F98" i="1"/>
  <c r="AI88" i="1"/>
  <c r="AH88" i="1"/>
  <c r="A7" i="4" l="1"/>
  <c r="AH80" i="4"/>
  <c r="H256" i="5"/>
  <c r="J220" i="5"/>
  <c r="H215" i="5"/>
  <c r="G98" i="5"/>
  <c r="G221" i="5"/>
  <c r="AH80" i="1"/>
  <c r="A7" i="1"/>
  <c r="G256" i="4"/>
  <c r="I220" i="4"/>
  <c r="AI88" i="4"/>
  <c r="AH88" i="4"/>
  <c r="H215" i="4"/>
  <c r="G98" i="4"/>
  <c r="G221" i="4"/>
  <c r="I215" i="1"/>
  <c r="F256" i="1"/>
  <c r="H220" i="1"/>
  <c r="I215" i="5" l="1"/>
  <c r="H98" i="5"/>
  <c r="H221" i="5"/>
  <c r="K220" i="5"/>
  <c r="I256" i="5"/>
  <c r="I215" i="4"/>
  <c r="H98" i="4"/>
  <c r="H221" i="4"/>
  <c r="H256" i="4"/>
  <c r="J220" i="4"/>
  <c r="G256" i="1"/>
  <c r="I220" i="1"/>
  <c r="H221" i="1"/>
  <c r="H98" i="1"/>
  <c r="I98" i="1"/>
  <c r="I221" i="1"/>
  <c r="J215" i="1"/>
  <c r="J256" i="5" l="1"/>
  <c r="L220" i="5"/>
  <c r="I98" i="5"/>
  <c r="I221" i="5"/>
  <c r="J215" i="5"/>
  <c r="I98" i="4"/>
  <c r="I221" i="4"/>
  <c r="J215" i="4"/>
  <c r="K220" i="4"/>
  <c r="I256" i="4"/>
  <c r="K215" i="1"/>
  <c r="H256" i="1"/>
  <c r="J220" i="1"/>
  <c r="J221" i="5" l="1"/>
  <c r="K215" i="5"/>
  <c r="J98" i="5"/>
  <c r="M220" i="5"/>
  <c r="K256" i="5"/>
  <c r="J256" i="4"/>
  <c r="L220" i="4"/>
  <c r="J221" i="4"/>
  <c r="K215" i="4"/>
  <c r="J98" i="4"/>
  <c r="K220" i="1"/>
  <c r="I256" i="1"/>
  <c r="J98" i="1"/>
  <c r="K221" i="1"/>
  <c r="L215" i="1"/>
  <c r="K98" i="1"/>
  <c r="J221" i="1"/>
  <c r="L256" i="5" l="1"/>
  <c r="N220" i="5"/>
  <c r="K221" i="5"/>
  <c r="K98" i="5"/>
  <c r="L215" i="5"/>
  <c r="K221" i="4"/>
  <c r="L215" i="4"/>
  <c r="K98" i="4"/>
  <c r="K256" i="4"/>
  <c r="M220" i="4"/>
  <c r="M215" i="1"/>
  <c r="L98" i="1"/>
  <c r="L220" i="1"/>
  <c r="J256" i="1"/>
  <c r="L221" i="5" l="1"/>
  <c r="L98" i="5"/>
  <c r="M215" i="5"/>
  <c r="M256" i="5"/>
  <c r="O220" i="5"/>
  <c r="L256" i="4"/>
  <c r="N220" i="4"/>
  <c r="L221" i="4"/>
  <c r="M215" i="4"/>
  <c r="L98" i="4"/>
  <c r="M220" i="1"/>
  <c r="K256" i="1"/>
  <c r="N215" i="1"/>
  <c r="M98" i="1"/>
  <c r="M221" i="1"/>
  <c r="L221" i="1"/>
  <c r="N256" i="5" l="1"/>
  <c r="P220" i="5"/>
  <c r="O256" i="5" s="1"/>
  <c r="N215" i="5"/>
  <c r="M221" i="5"/>
  <c r="M98" i="5"/>
  <c r="M256" i="4"/>
  <c r="O220" i="4"/>
  <c r="N215" i="4"/>
  <c r="M98" i="4"/>
  <c r="M221" i="4"/>
  <c r="O215" i="1"/>
  <c r="L256" i="1"/>
  <c r="N220" i="1"/>
  <c r="O215" i="5" l="1"/>
  <c r="N98" i="5"/>
  <c r="N221" i="5"/>
  <c r="N256" i="4"/>
  <c r="P220" i="4"/>
  <c r="O256" i="4" s="1"/>
  <c r="O215" i="4"/>
  <c r="N98" i="4"/>
  <c r="N221" i="4"/>
  <c r="M256" i="1"/>
  <c r="O220" i="1"/>
  <c r="N221" i="1"/>
  <c r="N98" i="1"/>
  <c r="P215" i="1"/>
  <c r="O98" i="1"/>
  <c r="O221" i="1"/>
  <c r="P215" i="5" l="1"/>
  <c r="O221" i="5"/>
  <c r="P215" i="4"/>
  <c r="O98" i="4"/>
  <c r="O221" i="4"/>
  <c r="N256" i="1"/>
  <c r="P220" i="1"/>
  <c r="O256" i="1" s="1"/>
  <c r="P98" i="5" l="1"/>
  <c r="P221" i="5"/>
  <c r="P98" i="4"/>
  <c r="P221" i="4"/>
  <c r="P221" i="1"/>
  <c r="P98" i="1"/>
  <c r="AH98" i="5" l="1"/>
  <c r="AI98" i="5"/>
  <c r="AI98" i="4"/>
  <c r="AH98" i="4"/>
  <c r="AI98" i="1"/>
  <c r="AH98" i="1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<sst xmlns="http://schemas.openxmlformats.org/spreadsheetml/2006/main" count="8660" uniqueCount="270">
  <si>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</si>
  <si>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</si>
  <si>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</si>
  <si>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</si>
  <si>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</si>
  <si>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</si>
  <si>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</si>
  <si>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</si>
  <si>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</si>
  <si>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</si>
  <si>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</si>
  <si>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</si>
  <si>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</si>
  <si>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</si>
  <si>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</si>
  <si>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</si>
  <si>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</si>
  <si>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</si>
  <si>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</si>
  <si>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</si>
  <si>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</si>
  <si>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</si>
  <si>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</si>
  <si>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Nyadi(30)</t>
  </si>
  <si>
    <t>Upper Madi(25)</t>
  </si>
  <si>
    <t>Kabeli B-1(25)</t>
  </si>
  <si>
    <t>Singati Khola(25)</t>
  </si>
  <si>
    <t>Likhu Khola A(24.2)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</si>
  <si>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</si>
  <si>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</si>
  <si>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</si>
  <si>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</si>
  <si>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</si>
  <si>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</si>
  <si>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Hewa Khola A(14.9)</t>
  </si>
  <si>
    <t>Thapa Khola(13.6)</t>
  </si>
  <si>
    <t>Madkyu Khola(13)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</si>
  <si>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</si>
  <si>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</si>
  <si>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</si>
  <si>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</si>
  <si>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</si>
  <si>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</si>
  <si>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</si>
  <si>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</si>
  <si>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</si>
  <si>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</si>
  <si>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</si>
  <si>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</si>
  <si>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</si>
  <si>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</si>
  <si>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</si>
  <si>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</si>
  <si>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</si>
  <si>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</si>
  <si>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</si>
  <si>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</si>
  <si>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</si>
  <si>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</si>
  <si>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</si>
  <si>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</si>
  <si>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</si>
  <si>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</si>
  <si>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</si>
  <si>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</si>
  <si>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</si>
  <si>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</si>
  <si>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</si>
  <si>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</si>
  <si>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</si>
  <si>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</si>
  <si>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</si>
  <si>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</si>
  <si>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</si>
  <si>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</si>
  <si>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</si>
  <si>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</si>
  <si>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</si>
  <si>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</si>
  <si>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</si>
  <si>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</si>
  <si>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</si>
  <si>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</si>
  <si>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</si>
  <si>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</si>
  <si>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</si>
  <si>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</si>
  <si>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</si>
  <si>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</si>
  <si>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</si>
  <si>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</si>
  <si>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</si>
  <si>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</si>
  <si>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</si>
  <si>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</si>
  <si>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</si>
  <si>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</si>
  <si>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</si>
  <si>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</si>
  <si>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</si>
  <si>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</si>
  <si>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</si>
  <si>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</si>
  <si>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</si>
  <si>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</si>
  <si>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</si>
  <si>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</si>
  <si>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</si>
  <si>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</si>
  <si>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</si>
  <si>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</si>
  <si>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</si>
  <si>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</si>
  <si>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</si>
  <si>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</si>
  <si>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</si>
  <si>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</si>
  <si>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</si>
  <si>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</si>
  <si>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</si>
  <si>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</si>
  <si>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</si>
  <si>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</si>
  <si>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</si>
  <si>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</si>
  <si>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</si>
  <si>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</si>
  <si>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</si>
  <si>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</si>
  <si>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</si>
  <si>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</si>
  <si>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</si>
  <si>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</si>
  <si>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</si>
  <si>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</si>
  <si>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</si>
  <si>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</si>
  <si>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</si>
  <si>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</si>
  <si>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</si>
  <si>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</si>
  <si>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</si>
  <si>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</si>
  <si>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</si>
  <si>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</si>
  <si>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</si>
  <si>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</si>
  <si>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</si>
  <si>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</si>
  <si>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</si>
  <si>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</si>
  <si>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</si>
  <si>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</si>
  <si>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</si>
  <si>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</si>
  <si>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</si>
  <si>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</si>
  <si>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</si>
  <si>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</si>
  <si>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</si>
  <si>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</si>
  <si>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</si>
  <si>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</si>
  <si>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</si>
  <si>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</si>
  <si>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</si>
  <si>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</si>
  <si>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</si>
  <si>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</si>
  <si>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</si>
  <si>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</si>
  <si>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</si>
  <si>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</si>
  <si>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</si>
  <si>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</si>
  <si>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</si>
  <si>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</si>
  <si>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</si>
  <si>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</si>
  <si>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</si>
  <si>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</si>
  <si>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</si>
  <si>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</si>
  <si>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</si>
  <si>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</si>
  <si>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</si>
  <si>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</si>
  <si>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</si>
  <si>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</si>
  <si>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</si>
  <si>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</si>
  <si>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</si>
  <si>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</si>
  <si>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</si>
  <si>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</si>
  <si>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</si>
  <si>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</si>
  <si>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</si>
  <si>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</si>
  <si>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</si>
  <si>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</si>
  <si>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</si>
  <si>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</si>
  <si>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</si>
  <si>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</si>
  <si>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</si>
  <si>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</si>
  <si>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</si>
  <si>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</si>
  <si>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</si>
  <si>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</si>
  <si>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</si>
  <si>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</si>
  <si>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</si>
  <si>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</si>
  <si>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</si>
  <si>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</si>
  <si>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</si>
  <si>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</si>
  <si>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</si>
  <si>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</si>
  <si>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</si>
  <si>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</si>
  <si>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</si>
  <si>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</si>
  <si>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</si>
  <si>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</si>
  <si>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</si>
  <si>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</si>
  <si>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</si>
  <si>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</si>
  <si>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</si>
  <si>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</si>
  <si>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</si>
  <si>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</si>
  <si>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</si>
  <si>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</si>
  <si>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</si>
  <si>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</si>
  <si>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</si>
  <si>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Partial System Disturb</t>
  </si>
  <si>
    <t>d</t>
  </si>
  <si>
    <t>i</t>
  </si>
  <si>
    <t>s</t>
  </si>
  <si>
    <t>t</t>
  </si>
  <si>
    <t>u</t>
  </si>
  <si>
    <t>r</t>
  </si>
  <si>
    <t>b</t>
  </si>
  <si>
    <t xml:space="preserve"> </t>
  </si>
  <si>
    <t/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</si>
  <si>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</si>
  <si>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</si>
  <si>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</si>
  <si>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</si>
  <si>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</si>
  <si>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</si>
  <si>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</si>
  <si>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</si>
  <si>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</si>
  <si>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</si>
  <si>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C</t>
  </si>
  <si>
    <t>O</t>
  </si>
  <si>
    <t>y</t>
  </si>
  <si>
    <t>e</t>
  </si>
  <si>
    <t>m</t>
  </si>
  <si>
    <t>w</t>
  </si>
  <si>
    <t>D</t>
  </si>
  <si>
    <t>U</t>
  </si>
  <si>
    <t>B</t>
  </si>
  <si>
    <t>NMRS-MATA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</si>
</sst>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4" fillId="0" borderId="0"/>
  </cellStyleXfs>
  <cellXfs count="406">
    <xf numFmtId="0" fontId="0" fillId="0" borderId="0" xfId="0"/>
    <xf numFmtId="164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5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6" fontId="0" fillId="5" borderId="0" xfId="0" applyNumberFormat="1" applyFill="1"/>
    <xf numFmtId="0" fontId="0" fillId="5" borderId="0" xfId="0" applyFill="1"/>
    <xf numFmtId="164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4" xfId="0" applyFont="1" applyBorder="1" applyAlignment="1">
      <alignment horizontal="right" vertical="center"/>
    </xf>
    <xf numFmtId="166" fontId="12" fillId="0" borderId="25" xfId="0" applyNumberFormat="1" applyFont="1" applyBorder="1" applyAlignment="1" applyProtection="1">
      <alignment horizontal="center" vertical="center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27" xfId="0" applyNumberFormat="1" applyFont="1" applyBorder="1" applyAlignment="1" applyProtection="1">
      <alignment horizontal="center" vertical="center"/>
      <protection locked="0"/>
    </xf>
    <xf numFmtId="169" fontId="12" fillId="0" borderId="25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169" fontId="12" fillId="0" borderId="27" xfId="0" applyNumberFormat="1" applyFont="1" applyBorder="1" applyAlignment="1" applyProtection="1">
      <alignment horizontal="center" vertical="center"/>
      <protection locked="0"/>
    </xf>
    <xf numFmtId="169" fontId="25" fillId="0" borderId="28" xfId="0" applyNumberFormat="1" applyFont="1" applyBorder="1" applyAlignment="1">
      <alignment horizontal="center" vertical="center"/>
    </xf>
    <xf numFmtId="2" fontId="25" fillId="0" borderId="28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64" fontId="12" fillId="0" borderId="0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169" fontId="25" fillId="0" borderId="30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right" vertical="center"/>
    </xf>
    <xf numFmtId="166" fontId="12" fillId="9" borderId="6" xfId="0" applyNumberFormat="1" applyFont="1" applyFill="1" applyBorder="1" applyAlignment="1" applyProtection="1">
      <alignment horizontal="center" vertical="center"/>
      <protection locked="0"/>
    </xf>
    <xf numFmtId="0" fontId="16" fillId="0" borderId="24" xfId="0" applyFont="1" applyBorder="1" applyAlignment="1">
      <alignment horizontal="right" vertical="center"/>
    </xf>
    <xf numFmtId="166" fontId="12" fillId="10" borderId="25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6" fontId="16" fillId="0" borderId="32" xfId="0" applyNumberFormat="1" applyFont="1" applyBorder="1" applyAlignment="1">
      <alignment horizontal="center" vertical="center"/>
    </xf>
    <xf numFmtId="169" fontId="16" fillId="0" borderId="32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right" vertical="center"/>
    </xf>
    <xf numFmtId="0" fontId="12" fillId="0" borderId="34" xfId="0" applyFont="1" applyBorder="1" applyAlignment="1">
      <alignment horizontal="right" vertic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>
      <alignment horizontal="right" vertical="center"/>
    </xf>
    <xf numFmtId="166" fontId="12" fillId="0" borderId="18" xfId="0" applyNumberFormat="1" applyFont="1" applyBorder="1" applyAlignment="1" applyProtection="1">
      <alignment horizontal="center" vertical="center"/>
      <protection locked="0"/>
    </xf>
    <xf numFmtId="169" fontId="25" fillId="0" borderId="23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27" fillId="0" borderId="0" xfId="0" applyFont="1"/>
    <xf numFmtId="0" fontId="12" fillId="0" borderId="37" xfId="0" applyFont="1" applyBorder="1" applyAlignment="1">
      <alignment horizontal="right" vertical="center"/>
    </xf>
    <xf numFmtId="2" fontId="26" fillId="0" borderId="38" xfId="0" applyNumberFormat="1" applyFont="1" applyBorder="1" applyAlignment="1">
      <alignment horizontal="center" vertical="center"/>
    </xf>
    <xf numFmtId="169" fontId="26" fillId="0" borderId="38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left" vertical="center"/>
    </xf>
    <xf numFmtId="169" fontId="12" fillId="0" borderId="30" xfId="0" applyNumberFormat="1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right" vertical="center"/>
    </xf>
    <xf numFmtId="166" fontId="12" fillId="0" borderId="38" xfId="0" applyNumberFormat="1" applyFont="1" applyBorder="1" applyAlignment="1">
      <alignment horizontal="center" vertical="center"/>
    </xf>
    <xf numFmtId="169" fontId="12" fillId="0" borderId="41" xfId="0" applyNumberFormat="1" applyFont="1" applyBorder="1" applyAlignment="1">
      <alignment horizontal="center" vertical="center"/>
    </xf>
    <xf numFmtId="169" fontId="16" fillId="0" borderId="42" xfId="0" applyNumberFormat="1" applyFont="1" applyBorder="1" applyAlignment="1">
      <alignment horizontal="center" vertical="center"/>
    </xf>
    <xf numFmtId="169" fontId="12" fillId="0" borderId="28" xfId="0" applyNumberFormat="1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0" fontId="16" fillId="11" borderId="39" xfId="0" applyFont="1" applyFill="1" applyBorder="1" applyAlignment="1">
      <alignment vertical="center" wrapText="1"/>
    </xf>
    <xf numFmtId="166" fontId="12" fillId="0" borderId="32" xfId="0" applyNumberFormat="1" applyFont="1" applyBorder="1" applyAlignment="1" applyProtection="1">
      <alignment horizontal="center" vertical="center"/>
      <protection locked="0"/>
    </xf>
    <xf numFmtId="169" fontId="25" fillId="0" borderId="41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2" fillId="0" borderId="43" xfId="0" applyFont="1" applyBorder="1" applyAlignment="1">
      <alignment horizontal="right"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169" fontId="12" fillId="0" borderId="44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right" vertical="center"/>
    </xf>
    <xf numFmtId="169" fontId="12" fillId="0" borderId="46" xfId="0" applyNumberFormat="1" applyFont="1" applyBorder="1" applyAlignment="1">
      <alignment horizontal="center" vertical="center"/>
    </xf>
    <xf numFmtId="0" fontId="12" fillId="0" borderId="47" xfId="0" applyFont="1" applyBorder="1" applyAlignment="1">
      <alignment horizontal="right"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9" fontId="12" fillId="0" borderId="46" xfId="0" applyNumberFormat="1" applyFont="1" applyBorder="1" applyAlignment="1">
      <alignment horizontal="center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169" fontId="12" fillId="0" borderId="4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169" fontId="0" fillId="0" borderId="0" xfId="0" applyNumberFormat="1"/>
    <xf numFmtId="166" fontId="12" fillId="0" borderId="49" xfId="0" applyNumberFormat="1" applyFont="1" applyBorder="1" applyAlignment="1" applyProtection="1">
      <alignment horizontal="center" vertical="center"/>
      <protection locked="0"/>
    </xf>
    <xf numFmtId="169" fontId="0" fillId="0" borderId="6" xfId="0" applyNumberFormat="1" applyBorder="1" applyAlignment="1">
      <alignment horizontal="center"/>
    </xf>
    <xf numFmtId="165" fontId="0" fillId="0" borderId="0" xfId="0" applyNumberFormat="1" applyProtection="1">
      <protection locked="0"/>
    </xf>
    <xf numFmtId="166" fontId="12" fillId="0" borderId="50" xfId="0" applyNumberFormat="1" applyFont="1" applyBorder="1" applyAlignment="1" applyProtection="1">
      <alignment horizontal="center" vertical="center"/>
      <protection locked="0"/>
    </xf>
    <xf numFmtId="0" fontId="12" fillId="0" borderId="51" xfId="0" applyFont="1" applyBorder="1" applyAlignment="1">
      <alignment horizontal="right" vertical="center"/>
    </xf>
    <xf numFmtId="166" fontId="12" fillId="0" borderId="52" xfId="0" applyNumberFormat="1" applyFont="1" applyBorder="1" applyAlignment="1" applyProtection="1">
      <alignment horizontal="center"/>
      <protection locked="0"/>
    </xf>
    <xf numFmtId="169" fontId="0" fillId="0" borderId="38" xfId="0" applyNumberFormat="1" applyBorder="1" applyAlignment="1">
      <alignment horizontal="center"/>
    </xf>
    <xf numFmtId="169" fontId="0" fillId="0" borderId="0" xfId="0" applyNumberFormat="1" applyBorder="1" applyAlignment="1">
      <alignment horizontal="center"/>
    </xf>
    <xf numFmtId="0" fontId="12" fillId="0" borderId="6" xfId="0" applyFont="1" applyBorder="1" applyAlignment="1">
      <alignment horizontal="right" vertical="center"/>
    </xf>
    <xf numFmtId="0" fontId="16" fillId="0" borderId="53" xfId="0" applyFont="1" applyBorder="1" applyAlignment="1">
      <alignment vertical="center"/>
    </xf>
    <xf numFmtId="0" fontId="0" fillId="0" borderId="54" xfId="0" applyBorder="1" applyAlignment="1">
      <alignment horizontal="center"/>
    </xf>
    <xf numFmtId="169" fontId="0" fillId="0" borderId="55" xfId="0" applyNumberFormat="1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12" fillId="0" borderId="56" xfId="0" applyFont="1" applyBorder="1" applyAlignment="1">
      <alignment horizontal="right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5" xfId="0" applyNumberFormat="1" applyFont="1" applyBorder="1" applyAlignment="1" applyProtection="1">
      <alignment horizontal="center" vertical="center"/>
      <protection locked="0"/>
    </xf>
    <xf numFmtId="169" fontId="25" fillId="0" borderId="57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69" fontId="25" fillId="0" borderId="58" xfId="0" applyNumberFormat="1" applyFont="1" applyBorder="1" applyAlignment="1">
      <alignment horizontal="center" vertical="center"/>
    </xf>
    <xf numFmtId="169" fontId="25" fillId="0" borderId="59" xfId="0" applyNumberFormat="1" applyFont="1" applyBorder="1" applyAlignment="1">
      <alignment horizontal="center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 applyProtection="1">
      <alignment horizontal="center" vertical="center"/>
      <protection locked="0"/>
    </xf>
    <xf numFmtId="0" fontId="12" fillId="0" borderId="36" xfId="0" applyFont="1" applyBorder="1" applyAlignment="1">
      <alignment vertical="center"/>
    </xf>
    <xf numFmtId="2" fontId="12" fillId="0" borderId="60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0" borderId="61" xfId="0" applyNumberFormat="1" applyFont="1" applyBorder="1" applyAlignment="1">
      <alignment horizontal="center" vertical="center"/>
    </xf>
    <xf numFmtId="169" fontId="25" fillId="0" borderId="36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2" fontId="12" fillId="0" borderId="2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center" vertical="center"/>
    </xf>
    <xf numFmtId="169" fontId="28" fillId="0" borderId="58" xfId="0" applyNumberFormat="1" applyFont="1" applyBorder="1" applyAlignment="1">
      <alignment horizontal="center" vertical="center"/>
    </xf>
    <xf numFmtId="169" fontId="28" fillId="0" borderId="59" xfId="0" applyNumberFormat="1" applyFont="1" applyBorder="1" applyAlignment="1">
      <alignment horizontal="center" vertical="center"/>
    </xf>
    <xf numFmtId="0" fontId="12" fillId="0" borderId="60" xfId="0" applyFont="1" applyBorder="1" applyAlignment="1">
      <alignment horizontal="right" vertical="center"/>
    </xf>
    <xf numFmtId="169" fontId="0" fillId="0" borderId="62" xfId="0" applyNumberFormat="1" applyBorder="1" applyAlignment="1">
      <alignment horizontal="center"/>
    </xf>
    <xf numFmtId="0" fontId="16" fillId="0" borderId="43" xfId="0" applyFont="1" applyBorder="1" applyAlignment="1">
      <alignment vertic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25" xfId="0" applyNumberFormat="1" applyFont="1" applyBorder="1" applyAlignment="1">
      <alignment horizontal="center" vertical="center"/>
    </xf>
    <xf numFmtId="2" fontId="29" fillId="0" borderId="57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16" fillId="0" borderId="45" xfId="0" applyFont="1" applyBorder="1" applyAlignment="1">
      <alignment vertic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58" xfId="0" applyNumberFormat="1" applyFont="1" applyBorder="1" applyAlignment="1">
      <alignment horizontal="center" vertical="center"/>
    </xf>
    <xf numFmtId="0" fontId="16" fillId="0" borderId="64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4" borderId="0" xfId="0" applyFont="1" applyFill="1"/>
    <xf numFmtId="0" fontId="0" fillId="15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20" fontId="12" fillId="0" borderId="38" xfId="0" applyNumberFormat="1" applyFont="1" applyBorder="1" applyAlignment="1">
      <alignment vertical="center"/>
    </xf>
    <xf numFmtId="167" fontId="12" fillId="0" borderId="65" xfId="0" applyNumberFormat="1" applyFont="1" applyBorder="1" applyAlignment="1">
      <alignment vertical="center"/>
    </xf>
    <xf numFmtId="167" fontId="12" fillId="0" borderId="38" xfId="0" applyNumberFormat="1" applyFont="1" applyBorder="1" applyAlignment="1">
      <alignment vertical="center"/>
    </xf>
    <xf numFmtId="167" fontId="12" fillId="0" borderId="19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5" fontId="0" fillId="15" borderId="0" xfId="0" applyNumberFormat="1" applyFill="1" applyProtection="1">
      <protection locked="0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1" fillId="0" borderId="0" xfId="2" applyNumberFormat="1"/>
    <xf numFmtId="164" fontId="1" fillId="0" borderId="0" xfId="2"/>
    <xf numFmtId="164" fontId="1" fillId="0" borderId="0" xfId="2" applyFill="1" applyBorder="1" applyProtection="1">
      <protection locked="0"/>
    </xf>
    <xf numFmtId="164" fontId="1" fillId="0" borderId="0" xfId="2" applyFill="1" applyBorder="1"/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Border="1" applyAlignment="1">
      <alignment vertical="center"/>
    </xf>
    <xf numFmtId="14" fontId="8" fillId="0" borderId="0" xfId="2" applyNumberFormat="1" applyFont="1" applyBorder="1" applyAlignment="1">
      <alignment vertical="center"/>
    </xf>
    <xf numFmtId="164" fontId="4" fillId="0" borderId="0" xfId="2" applyFont="1" applyAlignment="1">
      <alignment vertic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Fill="1" applyBorder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20" fontId="1" fillId="0" borderId="0" xfId="2" applyNumberFormat="1" applyFill="1" applyBorder="1" applyAlignment="1">
      <alignment horizontal="center" vertical="center"/>
    </xf>
    <xf numFmtId="165" fontId="14" fillId="0" borderId="0" xfId="2" applyNumberFormat="1" applyFont="1" applyFill="1" applyBorder="1" applyAlignme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NumberFormat="1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164" fontId="1" fillId="0" borderId="0" xfId="2" applyFill="1"/>
    <xf numFmtId="164" fontId="2" fillId="0" borderId="0" xfId="2" applyFont="1" applyFill="1"/>
    <xf numFmtId="20" fontId="1" fillId="0" borderId="0" xfId="2" applyNumberFormat="1" applyAlignment="1">
      <alignment horizontal="center" vertical="center"/>
    </xf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Fill="1" applyAlignment="1">
      <alignment horizontal="center"/>
    </xf>
    <xf numFmtId="164" fontId="18" fillId="0" borderId="0" xfId="2" applyFont="1" applyFill="1"/>
    <xf numFmtId="164" fontId="18" fillId="0" borderId="0" xfId="2" applyFont="1" applyFill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6" fontId="12" fillId="0" borderId="26" xfId="2" applyNumberFormat="1" applyFont="1" applyBorder="1" applyAlignment="1" applyProtection="1">
      <alignment horizontal="center" vertical="center"/>
      <protection locked="0"/>
    </xf>
    <xf numFmtId="166" fontId="12" fillId="9" borderId="25" xfId="2" applyNumberFormat="1" applyFont="1" applyFill="1" applyBorder="1" applyAlignment="1" applyProtection="1">
      <alignment horizontal="center" vertical="center"/>
      <protection locked="0"/>
    </xf>
    <xf numFmtId="166" fontId="12" fillId="0" borderId="27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7" xfId="2" applyNumberFormat="1" applyFont="1" applyBorder="1" applyAlignment="1" applyProtection="1">
      <alignment horizontal="center" vertical="center"/>
      <protection locked="0"/>
    </xf>
    <xf numFmtId="169" fontId="25" fillId="0" borderId="28" xfId="2" applyNumberFormat="1" applyFont="1" applyBorder="1" applyAlignment="1">
      <alignment horizontal="center" vertical="center"/>
    </xf>
    <xf numFmtId="2" fontId="25" fillId="0" borderId="28" xfId="2" applyNumberFormat="1" applyFont="1" applyBorder="1" applyAlignment="1">
      <alignment horizontal="center" vertical="center"/>
    </xf>
    <xf numFmtId="164" fontId="12" fillId="0" borderId="0" xfId="2" applyFont="1" applyBorder="1" applyAlignment="1">
      <alignment vertical="center"/>
    </xf>
    <xf numFmtId="164" fontId="12" fillId="0" borderId="0" xfId="2" applyNumberFormat="1" applyFont="1" applyBorder="1" applyAlignment="1">
      <alignment horizontal="center" vertical="center"/>
    </xf>
    <xf numFmtId="164" fontId="12" fillId="0" borderId="29" xfId="2" applyFont="1" applyBorder="1" applyAlignment="1">
      <alignment horizontal="right" vertical="center"/>
    </xf>
    <xf numFmtId="169" fontId="25" fillId="0" borderId="30" xfId="2" applyNumberFormat="1" applyFont="1" applyBorder="1" applyAlignment="1">
      <alignment horizontal="center" vertical="center"/>
    </xf>
    <xf numFmtId="164" fontId="26" fillId="0" borderId="29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1" xfId="2" applyFont="1" applyBorder="1" applyAlignment="1">
      <alignment horizontal="left" vertical="center"/>
    </xf>
    <xf numFmtId="166" fontId="16" fillId="0" borderId="32" xfId="2" applyNumberFormat="1" applyFont="1" applyBorder="1" applyAlignment="1">
      <alignment horizontal="center" vertical="center"/>
    </xf>
    <xf numFmtId="169" fontId="16" fillId="0" borderId="32" xfId="2" applyNumberFormat="1" applyFont="1" applyBorder="1" applyAlignment="1">
      <alignment horizontal="center" vertical="center"/>
    </xf>
    <xf numFmtId="164" fontId="12" fillId="0" borderId="33" xfId="2" applyFont="1" applyBorder="1" applyAlignment="1">
      <alignment horizontal="right" vertical="center"/>
    </xf>
    <xf numFmtId="164" fontId="12" fillId="0" borderId="34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6" xfId="2" applyFont="1" applyBorder="1" applyAlignment="1">
      <alignment horizontal="left" vertical="center"/>
    </xf>
    <xf numFmtId="164" fontId="27" fillId="0" borderId="0" xfId="2" applyFont="1"/>
    <xf numFmtId="164" fontId="12" fillId="0" borderId="37" xfId="2" applyFont="1" applyBorder="1" applyAlignment="1">
      <alignment horizontal="right" vertical="center"/>
    </xf>
    <xf numFmtId="2" fontId="26" fillId="0" borderId="38" xfId="2" applyNumberFormat="1" applyFont="1" applyBorder="1" applyAlignment="1">
      <alignment horizontal="center" vertical="center"/>
    </xf>
    <xf numFmtId="169" fontId="26" fillId="0" borderId="38" xfId="2" applyNumberFormat="1" applyFont="1" applyBorder="1" applyAlignment="1">
      <alignment horizontal="center" vertical="center"/>
    </xf>
    <xf numFmtId="164" fontId="16" fillId="0" borderId="39" xfId="2" applyFont="1" applyBorder="1" applyAlignment="1">
      <alignment horizontal="left" vertical="center"/>
    </xf>
    <xf numFmtId="169" fontId="12" fillId="0" borderId="30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12" fillId="0" borderId="40" xfId="2" applyFont="1" applyBorder="1" applyAlignment="1">
      <alignment horizontal="right" vertical="center"/>
    </xf>
    <xf numFmtId="166" fontId="12" fillId="0" borderId="38" xfId="2" applyNumberFormat="1" applyFont="1" applyBorder="1" applyAlignment="1">
      <alignment horizontal="center" vertical="center"/>
    </xf>
    <xf numFmtId="169" fontId="12" fillId="0" borderId="41" xfId="2" applyNumberFormat="1" applyFont="1" applyBorder="1" applyAlignment="1">
      <alignment horizontal="center" vertical="center"/>
    </xf>
    <xf numFmtId="169" fontId="16" fillId="0" borderId="42" xfId="2" applyNumberFormat="1" applyFont="1" applyBorder="1" applyAlignment="1">
      <alignment horizontal="center" vertical="center"/>
    </xf>
    <xf numFmtId="169" fontId="12" fillId="0" borderId="28" xfId="2" applyNumberFormat="1" applyFont="1" applyBorder="1" applyAlignment="1">
      <alignment horizontal="center" vertical="center"/>
    </xf>
    <xf numFmtId="1" fontId="16" fillId="0" borderId="32" xfId="2" applyNumberFormat="1" applyFont="1" applyBorder="1" applyAlignment="1">
      <alignment horizontal="center" vertical="center"/>
    </xf>
    <xf numFmtId="164" fontId="16" fillId="11" borderId="39" xfId="2" applyFont="1" applyFill="1" applyBorder="1" applyAlignment="1">
      <alignment vertical="center" wrapText="1"/>
    </xf>
    <xf numFmtId="166" fontId="12" fillId="0" borderId="32" xfId="2" applyNumberFormat="1" applyFont="1" applyBorder="1" applyAlignment="1" applyProtection="1">
      <alignment horizontal="center" vertical="center"/>
      <protection locked="0"/>
    </xf>
    <xf numFmtId="169" fontId="25" fillId="0" borderId="41" xfId="2" applyNumberFormat="1" applyFont="1" applyBorder="1" applyAlignment="1">
      <alignment horizontal="center" vertical="center"/>
    </xf>
    <xf numFmtId="164" fontId="16" fillId="0" borderId="39" xfId="2" applyFont="1" applyBorder="1" applyAlignment="1">
      <alignment horizontal="center" vertical="center"/>
    </xf>
    <xf numFmtId="164" fontId="12" fillId="0" borderId="43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44" xfId="2" applyNumberFormat="1" applyFont="1" applyBorder="1" applyAlignment="1">
      <alignment horizontal="center" vertical="center"/>
    </xf>
    <xf numFmtId="164" fontId="12" fillId="0" borderId="45" xfId="2" applyFont="1" applyBorder="1" applyAlignment="1">
      <alignment horizontal="right" vertical="center"/>
    </xf>
    <xf numFmtId="169" fontId="12" fillId="0" borderId="46" xfId="2" applyNumberFormat="1" applyFont="1" applyBorder="1" applyAlignment="1">
      <alignment horizontal="center" vertical="center"/>
    </xf>
    <xf numFmtId="164" fontId="12" fillId="0" borderId="47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46" xfId="2" applyNumberFormat="1" applyFont="1" applyBorder="1" applyAlignment="1">
      <alignment horizontal="center"/>
    </xf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9" fontId="12" fillId="0" borderId="48" xfId="2" applyNumberFormat="1" applyFont="1" applyBorder="1" applyAlignment="1">
      <alignment horizontal="center" vertical="center"/>
    </xf>
    <xf numFmtId="164" fontId="16" fillId="0" borderId="0" xfId="2" applyFont="1" applyBorder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49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5" fontId="1" fillId="0" borderId="0" xfId="2" applyNumberFormat="1" applyProtection="1">
      <protection locked="0"/>
    </xf>
    <xf numFmtId="166" fontId="12" fillId="0" borderId="50" xfId="2" applyNumberFormat="1" applyFont="1" applyBorder="1" applyAlignment="1" applyProtection="1">
      <alignment horizontal="center" vertical="center"/>
      <protection locked="0"/>
    </xf>
    <xf numFmtId="164" fontId="12" fillId="0" borderId="51" xfId="2" applyFont="1" applyBorder="1" applyAlignment="1">
      <alignment horizontal="right" vertical="center"/>
    </xf>
    <xf numFmtId="166" fontId="12" fillId="0" borderId="52" xfId="2" applyNumberFormat="1" applyFont="1" applyBorder="1" applyAlignment="1" applyProtection="1">
      <alignment horizontal="center"/>
      <protection locked="0"/>
    </xf>
    <xf numFmtId="169" fontId="1" fillId="0" borderId="38" xfId="2" applyNumberFormat="1" applyBorder="1" applyAlignment="1">
      <alignment horizontal="center"/>
    </xf>
    <xf numFmtId="169" fontId="1" fillId="0" borderId="0" xfId="2" applyNumberFormat="1" applyBorder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53" xfId="2" applyFont="1" applyBorder="1" applyAlignment="1">
      <alignment vertical="center"/>
    </xf>
    <xf numFmtId="164" fontId="1" fillId="0" borderId="54" xfId="2" applyBorder="1" applyAlignment="1">
      <alignment horizontal="center"/>
    </xf>
    <xf numFmtId="169" fontId="1" fillId="0" borderId="55" xfId="2" applyNumberFormat="1" applyBorder="1" applyAlignment="1">
      <alignment horizontal="center"/>
    </xf>
    <xf numFmtId="166" fontId="1" fillId="0" borderId="0" xfId="2" applyNumberFormat="1" applyBorder="1" applyAlignment="1" applyProtection="1">
      <alignment horizontal="center"/>
      <protection locked="0"/>
    </xf>
    <xf numFmtId="164" fontId="12" fillId="0" borderId="56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57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58" xfId="2" applyNumberFormat="1" applyFont="1" applyBorder="1" applyAlignment="1">
      <alignment horizontal="center" vertical="center"/>
    </xf>
    <xf numFmtId="169" fontId="25" fillId="0" borderId="59" xfId="2" applyNumberFormat="1" applyFont="1" applyBorder="1" applyAlignment="1">
      <alignment horizontal="center" vertical="center"/>
    </xf>
    <xf numFmtId="2" fontId="12" fillId="0" borderId="38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6" xfId="2" applyFont="1" applyBorder="1" applyAlignment="1">
      <alignment vertical="center"/>
    </xf>
    <xf numFmtId="2" fontId="12" fillId="0" borderId="60" xfId="2" applyNumberFormat="1" applyFont="1" applyBorder="1" applyAlignment="1">
      <alignment horizontal="center" vertical="center"/>
    </xf>
    <xf numFmtId="2" fontId="12" fillId="0" borderId="32" xfId="2" applyNumberFormat="1" applyFont="1" applyBorder="1" applyAlignment="1">
      <alignment horizontal="center" vertical="center"/>
    </xf>
    <xf numFmtId="2" fontId="12" fillId="0" borderId="61" xfId="2" applyNumberFormat="1" applyFont="1" applyBorder="1" applyAlignment="1">
      <alignment horizontal="center" vertical="center"/>
    </xf>
    <xf numFmtId="169" fontId="25" fillId="0" borderId="36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169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58" xfId="2" applyNumberFormat="1" applyFont="1" applyBorder="1" applyAlignment="1">
      <alignment horizontal="center" vertical="center"/>
    </xf>
    <xf numFmtId="169" fontId="28" fillId="0" borderId="59" xfId="2" applyNumberFormat="1" applyFont="1" applyBorder="1" applyAlignment="1">
      <alignment horizontal="center" vertical="center"/>
    </xf>
    <xf numFmtId="164" fontId="12" fillId="0" borderId="60" xfId="2" applyFont="1" applyBorder="1" applyAlignment="1">
      <alignment horizontal="right" vertical="center"/>
    </xf>
    <xf numFmtId="169" fontId="1" fillId="0" borderId="62" xfId="2" applyNumberFormat="1" applyBorder="1" applyAlignment="1">
      <alignment horizontal="center"/>
    </xf>
    <xf numFmtId="164" fontId="16" fillId="0" borderId="43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56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57" xfId="2" applyNumberFormat="1" applyFont="1" applyBorder="1" applyAlignment="1">
      <alignment horizontal="center" vertical="center"/>
    </xf>
    <xf numFmtId="164" fontId="1" fillId="0" borderId="63" xfId="2" applyBorder="1" applyAlignment="1">
      <alignment horizontal="center"/>
    </xf>
    <xf numFmtId="164" fontId="16" fillId="0" borderId="45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58" xfId="2" applyNumberFormat="1" applyFont="1" applyBorder="1" applyAlignment="1">
      <alignment horizontal="center" vertical="center"/>
    </xf>
    <xf numFmtId="164" fontId="16" fillId="0" borderId="64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2" borderId="6" xfId="2" applyFont="1" applyFill="1" applyBorder="1" applyAlignment="1">
      <alignment vertical="center"/>
    </xf>
    <xf numFmtId="1" fontId="1" fillId="12" borderId="6" xfId="2" applyNumberFormat="1" applyFill="1" applyBorder="1"/>
    <xf numFmtId="20" fontId="30" fillId="12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4" borderId="0" xfId="2" applyFont="1" applyFill="1"/>
    <xf numFmtId="164" fontId="1" fillId="15" borderId="0" xfId="2" applyFill="1" applyProtection="1">
      <protection locked="0"/>
    </xf>
    <xf numFmtId="164" fontId="1" fillId="0" borderId="0" xfId="2" applyAlignment="1"/>
    <xf numFmtId="164" fontId="16" fillId="0" borderId="0" xfId="2" applyFont="1" applyBorder="1" applyAlignment="1">
      <alignment vertical="top" wrapText="1"/>
    </xf>
    <xf numFmtId="20" fontId="12" fillId="0" borderId="38" xfId="2" applyNumberFormat="1" applyFont="1" applyBorder="1" applyAlignment="1">
      <alignment vertical="center"/>
    </xf>
    <xf numFmtId="167" fontId="12" fillId="0" borderId="65" xfId="2" applyNumberFormat="1" applyFont="1" applyBorder="1" applyAlignment="1">
      <alignment vertical="center"/>
    </xf>
    <xf numFmtId="167" fontId="12" fillId="0" borderId="38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5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6" fontId="12" fillId="15" borderId="25" xfId="2" applyNumberFormat="1" applyFont="1" applyFill="1" applyBorder="1" applyAlignment="1" applyProtection="1">
      <alignment horizontal="center" vertical="center"/>
      <protection locked="0"/>
    </xf>
    <xf numFmtId="166" fontId="12" fillId="13" borderId="25" xfId="2" applyNumberFormat="1" applyFont="1" applyFill="1" applyBorder="1" applyAlignment="1" applyProtection="1">
      <alignment horizontal="center" vertical="center"/>
      <protection locked="0"/>
    </xf>
    <xf numFmtId="166" fontId="12" fillId="5" borderId="25" xfId="2" applyNumberFormat="1" applyFont="1" applyFill="1" applyBorder="1" applyAlignment="1" applyProtection="1">
      <alignment horizontal="center" vertical="center"/>
      <protection locked="0"/>
    </xf>
    <xf numFmtId="0" fontId="1" fillId="0" borderId="0" xfId="2" applyNumberFormat="1"/>
    <xf numFmtId="164" fontId="0" fillId="0" borderId="54" xfId="2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11" xfId="0" applyFont="1" applyFill="1" applyBorder="1" applyAlignment="1">
      <alignment horizontal="left" vertical="center"/>
    </xf>
    <xf numFmtId="164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167" fontId="12" fillId="7" borderId="19" xfId="0" applyNumberFormat="1" applyFont="1" applyFill="1" applyBorder="1" applyAlignment="1">
      <alignment horizontal="center" vertical="center"/>
    </xf>
    <xf numFmtId="167" fontId="12" fillId="7" borderId="22" xfId="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167" fontId="12" fillId="0" borderId="18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19" xfId="0" applyNumberFormat="1" applyFont="1" applyBorder="1" applyAlignment="1">
      <alignment horizontal="center" vertical="center"/>
    </xf>
    <xf numFmtId="168" fontId="24" fillId="8" borderId="20" xfId="0" applyNumberFormat="1" applyFont="1" applyFill="1" applyBorder="1" applyAlignment="1">
      <alignment horizontal="center" vertical="center" wrapText="1"/>
    </xf>
    <xf numFmtId="168" fontId="24" fillId="8" borderId="23" xfId="0" applyNumberFormat="1" applyFont="1" applyFill="1" applyBorder="1" applyAlignment="1">
      <alignment horizontal="center" vertical="center" wrapText="1"/>
    </xf>
    <xf numFmtId="0" fontId="31" fillId="13" borderId="0" xfId="0" applyFont="1" applyFill="1" applyAlignment="1">
      <alignment horizont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NumberFormat="1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7" fontId="12" fillId="0" borderId="18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164" fontId="31" fillId="13" borderId="0" xfId="2" applyFont="1" applyFill="1" applyAlignment="1">
      <alignment horizontal="center"/>
    </xf>
    <xf numFmtId="166" fontId="12" fillId="0" borderId="19" xfId="2" applyNumberFormat="1" applyFont="1" applyBorder="1" applyAlignment="1" applyProtection="1">
      <alignment horizontal="center" vertical="center" textRotation="90"/>
      <protection locked="0"/>
    </xf>
    <xf numFmtId="166" fontId="12" fillId="0" borderId="18" xfId="2" applyNumberFormat="1" applyFont="1" applyBorder="1" applyAlignment="1" applyProtection="1">
      <alignment horizontal="center" vertical="center" textRotation="90"/>
      <protection locked="0"/>
    </xf>
    <xf numFmtId="166" fontId="12" fillId="0" borderId="9" xfId="2" applyNumberFormat="1" applyFont="1" applyBorder="1" applyAlignment="1" applyProtection="1">
      <alignment horizontal="center" vertical="center" textRotation="90"/>
      <protection locked="0"/>
    </xf>
  </cellXfs>
  <cellStyles count="5">
    <cellStyle name="Comma" xfId="1" builtinId="3"/>
    <cellStyle name="Normal" xfId="0" builtinId="0"/>
    <cellStyle name="Normal 2" xfId="2"/>
    <cellStyle name="Normal 2 2" xfId="3"/>
    <cellStyle name="Normal 2 3" xfId="4"/>
  </cellStyles>
  <dxfs count="8387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[3]Sample_new!$A$233:$A$237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[3]Sample_new!$B$233:$B$237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[3]Sample_new!$S$235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[3]Sample_new!$T$233:$AX$233</c:f>
              <c:numCache>
                <c:formatCode>General</c:formatCode>
                <c:ptCount val="31"/>
              </c:numCache>
            </c:numRef>
          </c:cat>
          <c:val>
            <c:numRef>
              <c:f>[3]Sample_new!$U$234:$AX$234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552192"/>
        <c:axId val="311998336"/>
      </c:lineChart>
      <c:catAx>
        <c:axId val="306552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98336"/>
        <c:crosses val="autoZero"/>
        <c:auto val="1"/>
        <c:lblAlgn val="ctr"/>
        <c:lblOffset val="100"/>
        <c:noMultiLvlLbl val="0"/>
      </c:catAx>
      <c:valAx>
        <c:axId val="311998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5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384320"/>
        <c:axId val="393386240"/>
      </c:lineChart>
      <c:catAx>
        <c:axId val="393384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86240"/>
        <c:crosses val="autoZero"/>
        <c:auto val="1"/>
        <c:lblAlgn val="ctr"/>
        <c:lblOffset val="100"/>
        <c:noMultiLvlLbl val="0"/>
      </c:catAx>
      <c:valAx>
        <c:axId val="393386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8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238848"/>
        <c:axId val="398935552"/>
      </c:lineChart>
      <c:catAx>
        <c:axId val="398238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935552"/>
        <c:crosses val="autoZero"/>
        <c:auto val="1"/>
        <c:lblAlgn val="ctr"/>
        <c:lblOffset val="100"/>
        <c:noMultiLvlLbl val="0"/>
      </c:catAx>
      <c:valAx>
        <c:axId val="398935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3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865472"/>
        <c:axId val="434141824"/>
      </c:lineChart>
      <c:catAx>
        <c:axId val="433865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141824"/>
        <c:crosses val="autoZero"/>
        <c:auto val="1"/>
        <c:lblAlgn val="ctr"/>
        <c:lblOffset val="100"/>
        <c:noMultiLvlLbl val="0"/>
      </c:catAx>
      <c:valAx>
        <c:axId val="434141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6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'5'!$U$234:$AX$234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099200"/>
        <c:axId val="445265792"/>
      </c:lineChart>
      <c:catAx>
        <c:axId val="444099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65792"/>
        <c:crosses val="autoZero"/>
        <c:auto val="1"/>
        <c:lblAlgn val="ctr"/>
        <c:lblOffset val="100"/>
        <c:noMultiLvlLbl val="0"/>
      </c:catAx>
      <c:valAx>
        <c:axId val="445265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'6'!$U$234:$AX$234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37248"/>
        <c:axId val="532621568"/>
      </c:lineChart>
      <c:catAx>
        <c:axId val="521237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21568"/>
        <c:crosses val="autoZero"/>
        <c:auto val="1"/>
        <c:lblAlgn val="ctr"/>
        <c:lblOffset val="100"/>
        <c:noMultiLvlLbl val="0"/>
      </c:catAx>
      <c:valAx>
        <c:axId val="532621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3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'7'!$U$234:$AX$234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968192"/>
        <c:axId val="596970880"/>
      </c:lineChart>
      <c:catAx>
        <c:axId val="596968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70880"/>
        <c:crosses val="autoZero"/>
        <c:auto val="1"/>
        <c:lblAlgn val="ctr"/>
        <c:lblOffset val="100"/>
        <c:noMultiLvlLbl val="0"/>
      </c:catAx>
      <c:valAx>
        <c:axId val="59697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6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'Sample_new (3)'!$A$234:$A$238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'Sample_new (3)'!$B$234:$B$238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'Sample_new (3)'!$S$236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'Sample_new (3)'!$T$234:$AX$234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'Sample_new (3)'!$U$235:$AX$235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713280"/>
        <c:axId val="581731840"/>
      </c:lineChart>
      <c:catAx>
        <c:axId val="581713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31840"/>
        <c:crosses val="autoZero"/>
        <c:auto val="1"/>
        <c:lblAlgn val="ctr"/>
        <c:lblOffset val="100"/>
        <c:noMultiLvlLbl val="0"/>
      </c:catAx>
      <c:valAx>
        <c:axId val="581731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'8'!$U$234:$AX$234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010944"/>
        <c:axId val="581012864"/>
      </c:lineChart>
      <c:catAx>
        <c:axId val="581010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12864"/>
        <c:crosses val="autoZero"/>
        <c:auto val="1"/>
        <c:lblAlgn val="ctr"/>
        <c:lblOffset val="100"/>
        <c:noMultiLvlLbl val="0"/>
      </c:catAx>
      <c:valAx>
        <c:axId val="581012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1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'9'!$U$234:$AX$234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512640"/>
        <c:axId val="582514560"/>
      </c:lineChart>
      <c:catAx>
        <c:axId val="582512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14560"/>
        <c:crosses val="autoZero"/>
        <c:auto val="1"/>
        <c:lblAlgn val="ctr"/>
        <c:lblOffset val="100"/>
        <c:noMultiLvlLbl val="0"/>
      </c:catAx>
      <c:valAx>
        <c:axId val="582514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'10'!$U$234:$AX$234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576960"/>
        <c:axId val="583595520"/>
      </c:lineChart>
      <c:catAx>
        <c:axId val="583576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95520"/>
        <c:crosses val="autoZero"/>
        <c:auto val="1"/>
        <c:lblAlgn val="ctr"/>
        <c:lblOffset val="100"/>
        <c:noMultiLvlLbl val="0"/>
      </c:catAx>
      <c:valAx>
        <c:axId val="583595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7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'11'!$U$234:$AX$234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424064"/>
        <c:axId val="558425984"/>
      </c:lineChart>
      <c:catAx>
        <c:axId val="558424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25984"/>
        <c:crosses val="autoZero"/>
        <c:auto val="1"/>
        <c:lblAlgn val="ctr"/>
        <c:lblOffset val="100"/>
        <c:noMultiLvlLbl val="0"/>
      </c:catAx>
      <c:valAx>
        <c:axId val="558425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2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'12'!$U$234:$AX$234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702592"/>
        <c:axId val="584708864"/>
      </c:lineChart>
      <c:catAx>
        <c:axId val="584702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08864"/>
        <c:crosses val="autoZero"/>
        <c:auto val="1"/>
        <c:lblAlgn val="ctr"/>
        <c:lblOffset val="100"/>
        <c:noMultiLvlLbl val="0"/>
      </c:catAx>
      <c:valAx>
        <c:axId val="584708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0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'13'!$U$234:$AX$234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267648"/>
        <c:axId val="584269824"/>
      </c:lineChart>
      <c:catAx>
        <c:axId val="584267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9824"/>
        <c:crosses val="autoZero"/>
        <c:auto val="1"/>
        <c:lblAlgn val="ctr"/>
        <c:lblOffset val="100"/>
        <c:noMultiLvlLbl val="0"/>
      </c:catAx>
      <c:valAx>
        <c:axId val="584269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'14'!$U$234:$AX$234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317376"/>
        <c:axId val="585319552"/>
      </c:lineChart>
      <c:catAx>
        <c:axId val="585317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19552"/>
        <c:crosses val="autoZero"/>
        <c:auto val="1"/>
        <c:lblAlgn val="ctr"/>
        <c:lblOffset val="100"/>
        <c:noMultiLvlLbl val="0"/>
      </c:catAx>
      <c:valAx>
        <c:axId val="585319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1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'15'!$U$234:$AX$234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464704"/>
        <c:axId val="587466624"/>
      </c:lineChart>
      <c:catAx>
        <c:axId val="587464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66624"/>
        <c:crosses val="autoZero"/>
        <c:auto val="1"/>
        <c:lblAlgn val="ctr"/>
        <c:lblOffset val="100"/>
        <c:noMultiLvlLbl val="0"/>
      </c:catAx>
      <c:valAx>
        <c:axId val="58746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6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'16'!$U$234:$AX$234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240576"/>
        <c:axId val="587242496"/>
      </c:lineChart>
      <c:catAx>
        <c:axId val="587240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2496"/>
        <c:crosses val="autoZero"/>
        <c:auto val="1"/>
        <c:lblAlgn val="ctr"/>
        <c:lblOffset val="100"/>
        <c:noMultiLvlLbl val="0"/>
      </c:catAx>
      <c:valAx>
        <c:axId val="587242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'17'!$U$234:$AX$234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432064"/>
        <c:axId val="603433984"/>
      </c:lineChart>
      <c:catAx>
        <c:axId val="603432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33984"/>
        <c:crosses val="autoZero"/>
        <c:auto val="1"/>
        <c:lblAlgn val="ctr"/>
        <c:lblOffset val="100"/>
        <c:noMultiLvlLbl val="0"/>
      </c:catAx>
      <c:valAx>
        <c:axId val="603433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3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'18'!$U$234:$AX$234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009984"/>
        <c:axId val="624011904"/>
      </c:lineChart>
      <c:catAx>
        <c:axId val="624009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11904"/>
        <c:crosses val="autoZero"/>
        <c:auto val="1"/>
        <c:lblAlgn val="ctr"/>
        <c:lblOffset val="100"/>
        <c:noMultiLvlLbl val="0"/>
      </c:catAx>
      <c:valAx>
        <c:axId val="62401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'19'!$U$234:$AX$234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521216"/>
        <c:axId val="624523136"/>
      </c:lineChart>
      <c:catAx>
        <c:axId val="624521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23136"/>
        <c:crosses val="autoZero"/>
        <c:auto val="1"/>
        <c:lblAlgn val="ctr"/>
        <c:lblOffset val="100"/>
        <c:noMultiLvlLbl val="0"/>
      </c:catAx>
      <c:valAx>
        <c:axId val="624523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2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'20'!$U$234:$AX$234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952448"/>
        <c:axId val="624954368"/>
      </c:lineChart>
      <c:catAx>
        <c:axId val="624952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54368"/>
        <c:crosses val="autoZero"/>
        <c:auto val="1"/>
        <c:lblAlgn val="ctr"/>
        <c:lblOffset val="100"/>
        <c:noMultiLvlLbl val="0"/>
      </c:catAx>
      <c:valAx>
        <c:axId val="624954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5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'21'!$U$234:$AX$234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946048"/>
        <c:axId val="586947968"/>
      </c:lineChart>
      <c:catAx>
        <c:axId val="586946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47968"/>
        <c:crosses val="autoZero"/>
        <c:auto val="1"/>
        <c:lblAlgn val="ctr"/>
        <c:lblOffset val="100"/>
        <c:noMultiLvlLbl val="0"/>
      </c:catAx>
      <c:valAx>
        <c:axId val="5869479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4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'22'!$U$234:$AX$234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778240"/>
        <c:axId val="642780160"/>
      </c:lineChart>
      <c:catAx>
        <c:axId val="642778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80160"/>
        <c:crosses val="autoZero"/>
        <c:auto val="1"/>
        <c:lblAlgn val="ctr"/>
        <c:lblOffset val="100"/>
        <c:noMultiLvlLbl val="0"/>
      </c:catAx>
      <c:valAx>
        <c:axId val="642780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'23'!$U$234:$AX$234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555712"/>
        <c:axId val="643557632"/>
      </c:lineChart>
      <c:catAx>
        <c:axId val="643555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57632"/>
        <c:crosses val="autoZero"/>
        <c:auto val="1"/>
        <c:lblAlgn val="ctr"/>
        <c:lblOffset val="100"/>
        <c:noMultiLvlLbl val="0"/>
      </c:catAx>
      <c:valAx>
        <c:axId val="643557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5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'24'!$U$234:$AX$234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908352"/>
        <c:axId val="643910272"/>
      </c:lineChart>
      <c:catAx>
        <c:axId val="643908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10272"/>
        <c:crosses val="autoZero"/>
        <c:auto val="1"/>
        <c:lblAlgn val="ctr"/>
        <c:lblOffset val="100"/>
        <c:noMultiLvlLbl val="0"/>
      </c:catAx>
      <c:valAx>
        <c:axId val="643910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0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'25'!$A$233:$A$237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'25'!$B$233:$B$237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'25'!$S$235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'25'!$T$233:$AX$233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'25'!$U$234:$AX$234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837952"/>
        <c:axId val="625844224"/>
      </c:lineChart>
      <c:catAx>
        <c:axId val="625837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44224"/>
        <c:crosses val="autoZero"/>
        <c:auto val="1"/>
        <c:lblAlgn val="ctr"/>
        <c:lblOffset val="100"/>
        <c:noMultiLvlLbl val="0"/>
      </c:catAx>
      <c:valAx>
        <c:axId val="625844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3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'26'!$U$235:$AX$235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382912"/>
        <c:axId val="645384832"/>
      </c:lineChart>
      <c:catAx>
        <c:axId val="64538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84832"/>
        <c:crosses val="autoZero"/>
        <c:auto val="1"/>
        <c:lblAlgn val="ctr"/>
        <c:lblOffset val="100"/>
        <c:noMultiLvlLbl val="0"/>
      </c:catAx>
      <c:valAx>
        <c:axId val="645384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'27'!$U$235:$AX$235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565440"/>
        <c:axId val="645567616"/>
      </c:lineChart>
      <c:catAx>
        <c:axId val="645565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67616"/>
        <c:crosses val="autoZero"/>
        <c:auto val="1"/>
        <c:lblAlgn val="ctr"/>
        <c:lblOffset val="100"/>
        <c:noMultiLvlLbl val="0"/>
      </c:catAx>
      <c:valAx>
        <c:axId val="645567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6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'28'!$U$235:$AX$235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080000"/>
        <c:axId val="646081920"/>
      </c:lineChart>
      <c:catAx>
        <c:axId val="646080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81920"/>
        <c:crosses val="autoZero"/>
        <c:auto val="1"/>
        <c:lblAlgn val="ctr"/>
        <c:lblOffset val="100"/>
        <c:noMultiLvlLbl val="0"/>
      </c:catAx>
      <c:valAx>
        <c:axId val="646081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8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'29'!$U$235:$AX$235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729728"/>
        <c:axId val="646731648"/>
      </c:lineChart>
      <c:catAx>
        <c:axId val="646729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31648"/>
        <c:crosses val="autoZero"/>
        <c:auto val="1"/>
        <c:lblAlgn val="ctr"/>
        <c:lblOffset val="100"/>
        <c:noMultiLvlLbl val="0"/>
      </c:catAx>
      <c:valAx>
        <c:axId val="646731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'30'!$U$235:$AX$235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299072"/>
        <c:axId val="647300992"/>
      </c:lineChart>
      <c:catAx>
        <c:axId val="647299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00992"/>
        <c:crosses val="autoZero"/>
        <c:auto val="1"/>
        <c:lblAlgn val="ctr"/>
        <c:lblOffset val="100"/>
        <c:noMultiLvlLbl val="0"/>
      </c:catAx>
      <c:valAx>
        <c:axId val="647300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9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'31'!$U$235:$AX$235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543808"/>
        <c:axId val="647959680"/>
      </c:lineChart>
      <c:catAx>
        <c:axId val="64754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59680"/>
        <c:crosses val="autoZero"/>
        <c:auto val="1"/>
        <c:lblAlgn val="ctr"/>
        <c:lblOffset val="100"/>
        <c:noMultiLvlLbl val="0"/>
      </c:catAx>
      <c:valAx>
        <c:axId val="647959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Asoj1!$A$234:$A$238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Asoj1!$B$234:$B$238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Asoj1!$S$236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Asoj1!$T$234:$AX$234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Asoj1!$U$235:$AX$235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783552"/>
        <c:axId val="647785472"/>
      </c:lineChart>
      <c:catAx>
        <c:axId val="647783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85472"/>
        <c:crosses val="autoZero"/>
        <c:auto val="1"/>
        <c:lblAlgn val="ctr"/>
        <c:lblOffset val="100"/>
        <c:noMultiLvlLbl val="0"/>
      </c:catAx>
      <c:valAx>
        <c:axId val="647785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8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'Sample_new (2)'!$A$234:$A$238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'Sample_new (2)'!$B$234:$B$238</c:f>
              <c:numCache>
                <c:formatCode>[$-F800]dddd\,\ mmmm\ dd\,\ yyyy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'Sample_new (2)'!$S$236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'Sample_new (2)'!$T$234:$AX$234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'Sample_new (2)'!$U$235:$AX$235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129984"/>
        <c:axId val="649131904"/>
      </c:lineChart>
      <c:catAx>
        <c:axId val="649129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1904"/>
        <c:crosses val="autoZero"/>
        <c:auto val="1"/>
        <c:lblAlgn val="ctr"/>
        <c:lblOffset val="100"/>
        <c:noMultiLvlLbl val="0"/>
      </c:catAx>
      <c:valAx>
        <c:axId val="64913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2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232</xdr:row>
      <xdr:rowOff>57156</xdr:rowOff>
    </xdr:from>
    <xdr:to>
      <xdr:col>15</xdr:col>
      <xdr:colOff>219074</xdr:colOff>
      <xdr:row>254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235</xdr:row>
      <xdr:rowOff>133356</xdr:rowOff>
    </xdr:from>
    <xdr:to>
      <xdr:col>32</xdr:col>
      <xdr:colOff>9524</xdr:colOff>
      <xdr:row>253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-Logsheet-2079-04%20Shra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  <row r="234">
          <cell r="A234" t="str">
            <v>NEA(RoR+PRoR)</v>
          </cell>
          <cell r="U234">
            <v>4.1666666666666664E-2</v>
          </cell>
          <cell r="V234">
            <v>8.3333333333333301E-2</v>
          </cell>
          <cell r="W234">
            <v>0.125</v>
          </cell>
          <cell r="X234">
            <v>0.16666666666666699</v>
          </cell>
          <cell r="Y234">
            <v>0.20833333333333301</v>
          </cell>
          <cell r="Z234">
            <v>0.22916666666666666</v>
          </cell>
          <cell r="AA234">
            <v>0.25</v>
          </cell>
          <cell r="AB234">
            <v>0.27083333333333331</v>
          </cell>
          <cell r="AC234">
            <v>0.29166666666666669</v>
          </cell>
          <cell r="AD234">
            <v>0.3125</v>
          </cell>
          <cell r="AE234">
            <v>0.33333333333333331</v>
          </cell>
          <cell r="AF234">
            <v>0.375</v>
          </cell>
          <cell r="AG234">
            <v>0.41666666666666702</v>
          </cell>
          <cell r="AH234">
            <v>0.45833333333333298</v>
          </cell>
          <cell r="AI234">
            <v>0.5</v>
          </cell>
          <cell r="AJ234">
            <v>0.54166666666666696</v>
          </cell>
          <cell r="AK234">
            <v>0.58333333333333304</v>
          </cell>
          <cell r="AL234">
            <v>0.625</v>
          </cell>
          <cell r="AM234">
            <v>0.66666666666666696</v>
          </cell>
          <cell r="AN234">
            <v>0.70833333333333304</v>
          </cell>
          <cell r="AO234">
            <v>0.72916666666666663</v>
          </cell>
          <cell r="AP234">
            <v>0.75</v>
          </cell>
          <cell r="AQ234">
            <v>0.77083333333333337</v>
          </cell>
          <cell r="AR234">
            <v>0.79166666666666663</v>
          </cell>
          <cell r="AS234">
            <v>0.8125</v>
          </cell>
          <cell r="AT234">
            <v>0.83333333333333337</v>
          </cell>
          <cell r="AU234">
            <v>0.85416666666666663</v>
          </cell>
          <cell r="AV234">
            <v>0.875</v>
          </cell>
          <cell r="AW234">
            <v>0.91666666666666696</v>
          </cell>
          <cell r="AX234">
            <v>0.95833333333333304</v>
          </cell>
        </row>
        <row r="235">
          <cell r="A235" t="str">
            <v>KL1+KL2+KL3</v>
          </cell>
          <cell r="S235" t="str">
            <v>T_Load</v>
          </cell>
        </row>
        <row r="236">
          <cell r="A236" t="str">
            <v>Import</v>
          </cell>
        </row>
        <row r="237">
          <cell r="A237" t="str">
            <v>Export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493"/>
  <sheetViews>
    <sheetView zoomScale="90" zoomScaleNormal="90" workbookViewId="0">
      <selection activeCell="AF88" sqref="AF88"/>
    </sheetView>
  </sheetViews>
  <sheetFormatPr defaultRowHeight="15" x14ac:dyDescent="0.25"/>
  <cols>
    <col min="1" max="1" width="35.28515625" bestFit="1" customWidth="1"/>
    <col min="2" max="2" width="6.7109375" bestFit="1" customWidth="1"/>
    <col min="3" max="3" width="6.140625" customWidth="1"/>
    <col min="4" max="4" width="7" customWidth="1"/>
    <col min="5" max="7" width="6.42578125" bestFit="1" customWidth="1"/>
    <col min="8" max="8" width="6" bestFit="1" customWidth="1"/>
    <col min="9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53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4" t="s">
        <v>1</v>
      </c>
      <c r="AH1" s="354"/>
      <c r="AI1" s="354"/>
      <c r="AL1" s="2"/>
      <c r="AM1" s="3"/>
    </row>
    <row r="2" spans="1:88" ht="20.25" x14ac:dyDescent="0.25">
      <c r="A2" s="4"/>
      <c r="B2" s="355" t="s">
        <v>2</v>
      </c>
      <c r="C2" s="5"/>
      <c r="D2" s="357" t="s">
        <v>3</v>
      </c>
      <c r="E2" s="5"/>
      <c r="F2" s="357" t="s">
        <v>4</v>
      </c>
      <c r="G2" s="5"/>
      <c r="H2" s="357" t="s">
        <v>5</v>
      </c>
      <c r="I2" s="6"/>
      <c r="J2" s="359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665.78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56"/>
      <c r="C3" s="18"/>
      <c r="D3" s="358"/>
      <c r="E3" s="18"/>
      <c r="F3" s="358"/>
      <c r="G3" s="18"/>
      <c r="H3" s="358"/>
      <c r="I3" s="19"/>
      <c r="J3" s="359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AG56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360" t="str">
        <f ca="1">"2079/"&amp;"05/"&amp;INT(MID(CELL("filename",D6),FIND("]",CELL("filename",D6))+1,200))</f>
        <v>2079/05/1</v>
      </c>
      <c r="C4" s="360"/>
      <c r="D4" s="360"/>
      <c r="E4" s="361" t="str">
        <f ca="1">IFERROR([1]!DateBStoAD(B4),"")</f>
        <v/>
      </c>
      <c r="F4" s="361"/>
      <c r="G4" s="361"/>
      <c r="H4" s="361" t="str">
        <f ca="1">TEXT(E4,"dddd")</f>
        <v/>
      </c>
      <c r="I4" s="361"/>
      <c r="J4" s="28"/>
      <c r="K4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AG60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customHeight="1" x14ac:dyDescent="0.25">
      <c r="A5" s="31"/>
      <c r="B5" s="32">
        <f t="shared" ref="B5:AE5" si="0">C72</f>
        <v>47.1</v>
      </c>
      <c r="C5" s="32">
        <f t="shared" si="0"/>
        <v>44</v>
      </c>
      <c r="D5" s="32">
        <f t="shared" si="0"/>
        <v>28</v>
      </c>
      <c r="E5" s="32">
        <f t="shared" si="0"/>
        <v>24</v>
      </c>
      <c r="F5" s="32">
        <f t="shared" si="0"/>
        <v>22</v>
      </c>
      <c r="G5" s="32">
        <f t="shared" si="0"/>
        <v>19</v>
      </c>
      <c r="H5" s="32">
        <f t="shared" si="0"/>
        <v>8</v>
      </c>
      <c r="I5" s="32">
        <f t="shared" si="0"/>
        <v>49</v>
      </c>
      <c r="J5" s="32">
        <f t="shared" si="0"/>
        <v>45</v>
      </c>
      <c r="K5" s="32">
        <f t="shared" si="0"/>
        <v>53.4</v>
      </c>
      <c r="L5" s="32">
        <f t="shared" si="0"/>
        <v>45</v>
      </c>
      <c r="M5" s="32">
        <f t="shared" si="0"/>
        <v>69.8</v>
      </c>
      <c r="N5" s="32">
        <f t="shared" si="0"/>
        <v>68</v>
      </c>
      <c r="O5" s="32">
        <f t="shared" si="0"/>
        <v>70.900000000000006</v>
      </c>
      <c r="P5" s="32">
        <f t="shared" si="0"/>
        <v>81</v>
      </c>
      <c r="Q5" s="32">
        <f t="shared" si="0"/>
        <v>72.3</v>
      </c>
      <c r="R5" s="32">
        <f t="shared" si="0"/>
        <v>73.099999999999994</v>
      </c>
      <c r="S5" s="32">
        <f t="shared" si="0"/>
        <v>73.5</v>
      </c>
      <c r="T5" s="32">
        <f t="shared" si="0"/>
        <v>67.8</v>
      </c>
      <c r="U5" s="32">
        <f t="shared" si="0"/>
        <v>66</v>
      </c>
      <c r="V5" s="32">
        <f t="shared" si="0"/>
        <v>63.5</v>
      </c>
      <c r="W5" s="32">
        <f t="shared" si="0"/>
        <v>58.7</v>
      </c>
      <c r="X5" s="32">
        <f t="shared" si="0"/>
        <v>56.8</v>
      </c>
      <c r="Y5" s="32">
        <f t="shared" si="0"/>
        <v>49.5</v>
      </c>
      <c r="Z5" s="32">
        <f t="shared" si="0"/>
        <v>72.8</v>
      </c>
      <c r="AA5" s="32">
        <f t="shared" si="0"/>
        <v>79.400000000000006</v>
      </c>
      <c r="AB5" s="32">
        <f t="shared" si="0"/>
        <v>82</v>
      </c>
      <c r="AC5" s="32">
        <f t="shared" si="0"/>
        <v>70</v>
      </c>
      <c r="AD5" s="32">
        <f t="shared" si="0"/>
        <v>94</v>
      </c>
      <c r="AE5" s="32">
        <f t="shared" si="0"/>
        <v>62</v>
      </c>
      <c r="AF5" s="32">
        <f>B72</f>
        <v>74.2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1920MW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1261.69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Load=1820</v>
      </c>
      <c r="B7" s="37">
        <f>B79</f>
        <v>1876.74</v>
      </c>
      <c r="C7" s="37">
        <f t="shared" ref="C7:AF7" si="1">C79</f>
        <v>1852.6399999999999</v>
      </c>
      <c r="D7" s="37">
        <f t="shared" si="1"/>
        <v>1844.24</v>
      </c>
      <c r="E7" s="37">
        <f t="shared" si="1"/>
        <v>1840.34</v>
      </c>
      <c r="F7" s="37">
        <f t="shared" si="1"/>
        <v>1836.1399999999999</v>
      </c>
      <c r="G7" s="37">
        <f t="shared" si="1"/>
        <v>1833.74</v>
      </c>
      <c r="H7" s="37">
        <f t="shared" si="1"/>
        <v>1830.74</v>
      </c>
      <c r="I7" s="37">
        <f t="shared" si="1"/>
        <v>1819.74</v>
      </c>
      <c r="J7" s="37">
        <f t="shared" si="1"/>
        <v>1836.44</v>
      </c>
      <c r="K7" s="37">
        <f t="shared" si="1"/>
        <v>1842.94</v>
      </c>
      <c r="L7" s="37">
        <f t="shared" si="1"/>
        <v>1873.7400000000002</v>
      </c>
      <c r="M7" s="37">
        <f t="shared" si="1"/>
        <v>1919.7399999999998</v>
      </c>
      <c r="N7" s="37">
        <f t="shared" si="1"/>
        <v>1915.14</v>
      </c>
      <c r="O7" s="37">
        <f t="shared" si="1"/>
        <v>1903.94</v>
      </c>
      <c r="P7" s="37">
        <f t="shared" si="1"/>
        <v>1943.3400000000001</v>
      </c>
      <c r="Q7" s="37">
        <f t="shared" si="1"/>
        <v>1953.44</v>
      </c>
      <c r="R7" s="37">
        <f t="shared" si="1"/>
        <v>1935.84</v>
      </c>
      <c r="S7" s="37">
        <f t="shared" si="1"/>
        <v>1930.34</v>
      </c>
      <c r="T7" s="37">
        <f t="shared" si="1"/>
        <v>1946.84</v>
      </c>
      <c r="U7" s="37">
        <f t="shared" si="1"/>
        <v>1928.64</v>
      </c>
      <c r="V7" s="37">
        <f t="shared" si="1"/>
        <v>1899.64</v>
      </c>
      <c r="W7" s="37">
        <f t="shared" si="1"/>
        <v>1899.24</v>
      </c>
      <c r="X7" s="37">
        <f t="shared" si="1"/>
        <v>1884.04</v>
      </c>
      <c r="Y7" s="37">
        <f t="shared" si="1"/>
        <v>1872.1399999999999</v>
      </c>
      <c r="Z7" s="37">
        <f t="shared" si="1"/>
        <v>1950.54</v>
      </c>
      <c r="AA7" s="37">
        <f t="shared" si="1"/>
        <v>1986.5399999999997</v>
      </c>
      <c r="AB7" s="37">
        <f t="shared" si="1"/>
        <v>1958.2400000000002</v>
      </c>
      <c r="AC7" s="37">
        <f t="shared" si="1"/>
        <v>1997.1399999999999</v>
      </c>
      <c r="AD7" s="37">
        <f t="shared" si="1"/>
        <v>1985.1399999999999</v>
      </c>
      <c r="AE7" s="37">
        <f t="shared" si="1"/>
        <v>1989.6399999999999</v>
      </c>
      <c r="AF7" s="37">
        <f t="shared" si="1"/>
        <v>1894.6399999999999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362" t="s">
        <v>14</v>
      </c>
      <c r="C8" s="363"/>
      <c r="D8" s="363"/>
      <c r="E8" s="363"/>
      <c r="F8" s="363"/>
      <c r="G8" s="363"/>
      <c r="H8" s="363"/>
      <c r="I8" s="363"/>
      <c r="J8" s="363"/>
      <c r="K8" s="363"/>
      <c r="L8" s="364"/>
      <c r="M8" s="365" t="s">
        <v>15</v>
      </c>
      <c r="N8" s="366"/>
      <c r="O8" s="366"/>
      <c r="P8" s="366"/>
      <c r="Q8" s="366"/>
      <c r="R8" s="367"/>
      <c r="S8" s="365" t="s">
        <v>16</v>
      </c>
      <c r="T8" s="366"/>
      <c r="U8" s="366"/>
      <c r="V8" s="366"/>
      <c r="W8" s="366"/>
      <c r="X8" s="366"/>
      <c r="Y8" s="366"/>
      <c r="Z8" s="366"/>
      <c r="AA8" s="367"/>
      <c r="AB8" s="365" t="s">
        <v>17</v>
      </c>
      <c r="AC8" s="366"/>
      <c r="AD8" s="366"/>
      <c r="AE8" s="366"/>
      <c r="AF8" s="367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70" t="s">
        <v>18</v>
      </c>
      <c r="B9" s="372">
        <v>0</v>
      </c>
      <c r="C9" s="372">
        <v>4.1666666666666664E-2</v>
      </c>
      <c r="D9" s="372">
        <v>8.3333333333333301E-2</v>
      </c>
      <c r="E9" s="372">
        <v>0.125</v>
      </c>
      <c r="F9" s="372">
        <v>0.16666666666666699</v>
      </c>
      <c r="G9" s="372">
        <v>0.20833333333333301</v>
      </c>
      <c r="H9" s="372">
        <v>0.22916666666666666</v>
      </c>
      <c r="I9" s="372">
        <v>0.25</v>
      </c>
      <c r="J9" s="372">
        <v>0.27083333333333331</v>
      </c>
      <c r="K9" s="372">
        <v>0.29166666666666669</v>
      </c>
      <c r="L9" s="372">
        <v>0.3125</v>
      </c>
      <c r="M9" s="368">
        <v>0.33333333333333331</v>
      </c>
      <c r="N9" s="368">
        <v>0.375</v>
      </c>
      <c r="O9" s="368">
        <v>0.41666666666666702</v>
      </c>
      <c r="P9" s="368">
        <v>0.45833333333333298</v>
      </c>
      <c r="Q9" s="368">
        <v>0.5</v>
      </c>
      <c r="R9" s="368">
        <v>0.54166666666666696</v>
      </c>
      <c r="S9" s="374">
        <v>0.58333333333333304</v>
      </c>
      <c r="T9" s="374">
        <v>0.625</v>
      </c>
      <c r="U9" s="374">
        <v>0.66666666666666696</v>
      </c>
      <c r="V9" s="374">
        <v>0.70833333333333304</v>
      </c>
      <c r="W9" s="374">
        <v>0.72916666666666663</v>
      </c>
      <c r="X9" s="374">
        <v>0.75</v>
      </c>
      <c r="Y9" s="374">
        <v>0.77083333333333337</v>
      </c>
      <c r="Z9" s="374">
        <v>0.79166666666666663</v>
      </c>
      <c r="AA9" s="374">
        <v>0.8125</v>
      </c>
      <c r="AB9" s="374">
        <v>0.83333333333333337</v>
      </c>
      <c r="AC9" s="374">
        <v>0.85416666666666663</v>
      </c>
      <c r="AD9" s="374">
        <v>0.875</v>
      </c>
      <c r="AE9" s="374">
        <v>0.91666666666666696</v>
      </c>
      <c r="AF9" s="374">
        <v>0.95833333333333304</v>
      </c>
      <c r="AG9" s="375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71"/>
      <c r="B10" s="373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69"/>
      <c r="N10" s="369"/>
      <c r="O10" s="369"/>
      <c r="P10" s="369"/>
      <c r="Q10" s="369"/>
      <c r="R10" s="369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6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53.2</v>
      </c>
      <c r="C11" s="50">
        <v>53.2</v>
      </c>
      <c r="D11" s="50">
        <v>53.2</v>
      </c>
      <c r="E11" s="50">
        <v>53.2</v>
      </c>
      <c r="F11" s="50">
        <v>53.2</v>
      </c>
      <c r="G11" s="50">
        <v>53.2</v>
      </c>
      <c r="H11" s="50">
        <v>53.2</v>
      </c>
      <c r="I11" s="50">
        <v>53.2</v>
      </c>
      <c r="J11" s="50">
        <v>53.2</v>
      </c>
      <c r="K11" s="50">
        <v>53.2</v>
      </c>
      <c r="L11" s="50">
        <v>53.2</v>
      </c>
      <c r="M11" s="50">
        <v>53.2</v>
      </c>
      <c r="N11" s="50">
        <v>53.2</v>
      </c>
      <c r="O11" s="50">
        <v>53.2</v>
      </c>
      <c r="P11" s="50">
        <v>53.2</v>
      </c>
      <c r="Q11" s="50">
        <v>53.2</v>
      </c>
      <c r="R11" s="50">
        <v>53.2</v>
      </c>
      <c r="S11" s="50">
        <v>53.2</v>
      </c>
      <c r="T11" s="50">
        <v>53.2</v>
      </c>
      <c r="U11" s="50">
        <v>53.2</v>
      </c>
      <c r="V11" s="50">
        <v>53.2</v>
      </c>
      <c r="W11" s="50">
        <v>53.2</v>
      </c>
      <c r="X11" s="50">
        <v>53.2</v>
      </c>
      <c r="Y11" s="50">
        <v>53.2</v>
      </c>
      <c r="Z11" s="50">
        <v>53.2</v>
      </c>
      <c r="AA11" s="51">
        <v>53.2</v>
      </c>
      <c r="AB11" s="51">
        <v>53.2</v>
      </c>
      <c r="AC11" s="51">
        <v>53.2</v>
      </c>
      <c r="AD11" s="51">
        <v>53.2</v>
      </c>
      <c r="AE11" s="51">
        <v>53.2</v>
      </c>
      <c r="AF11" s="51">
        <v>53.2</v>
      </c>
      <c r="AG11" s="52">
        <v>52.4</v>
      </c>
      <c r="AH11" s="53">
        <f>MAX(B11:AF11)</f>
        <v>53.2</v>
      </c>
      <c r="AI11" s="54">
        <f>MIN(B11:AF11)</f>
        <v>53.2</v>
      </c>
      <c r="AK11" s="55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48" t="s">
        <v>20</v>
      </c>
      <c r="B12" s="49">
        <v>50.7</v>
      </c>
      <c r="C12" s="49">
        <v>50.7</v>
      </c>
      <c r="D12" s="49">
        <v>50.7</v>
      </c>
      <c r="E12" s="49">
        <v>50.7</v>
      </c>
      <c r="F12" s="49">
        <v>50.7</v>
      </c>
      <c r="G12" s="49">
        <v>50.7</v>
      </c>
      <c r="H12" s="49">
        <v>50.7</v>
      </c>
      <c r="I12" s="49">
        <v>50.7</v>
      </c>
      <c r="J12" s="49">
        <v>50.7</v>
      </c>
      <c r="K12" s="49">
        <v>50.7</v>
      </c>
      <c r="L12" s="49">
        <v>50.7</v>
      </c>
      <c r="M12" s="49">
        <v>50.7</v>
      </c>
      <c r="N12" s="49">
        <v>50.7</v>
      </c>
      <c r="O12" s="49">
        <v>50.7</v>
      </c>
      <c r="P12" s="49">
        <v>50.7</v>
      </c>
      <c r="Q12" s="49">
        <v>50.7</v>
      </c>
      <c r="R12" s="49">
        <v>50.7</v>
      </c>
      <c r="S12" s="49">
        <v>50.7</v>
      </c>
      <c r="T12" s="49">
        <v>50.7</v>
      </c>
      <c r="U12" s="49">
        <v>50.7</v>
      </c>
      <c r="V12" s="49">
        <v>50.7</v>
      </c>
      <c r="W12" s="49">
        <v>50.7</v>
      </c>
      <c r="X12" s="49">
        <v>50.7</v>
      </c>
      <c r="Y12" s="49">
        <v>50.7</v>
      </c>
      <c r="Z12" s="49">
        <v>50.7</v>
      </c>
      <c r="AA12" s="49">
        <v>50.3</v>
      </c>
      <c r="AB12" s="49">
        <v>50.3</v>
      </c>
      <c r="AC12" s="49">
        <v>50.3</v>
      </c>
      <c r="AD12" s="49">
        <v>50.3</v>
      </c>
      <c r="AE12" s="49">
        <v>50.3</v>
      </c>
      <c r="AF12" s="49">
        <v>50.3</v>
      </c>
      <c r="AG12" s="56">
        <v>50</v>
      </c>
      <c r="AH12" s="53">
        <f t="shared" ref="AH12:AH79" si="2">MAX(B12:AF12)</f>
        <v>50.7</v>
      </c>
      <c r="AI12" s="54">
        <f t="shared" ref="AI12:AI79" si="3">MIN(B12:AF12)</f>
        <v>50.3</v>
      </c>
      <c r="AK12" s="55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48" t="s">
        <v>21</v>
      </c>
      <c r="B13" s="49">
        <v>46</v>
      </c>
      <c r="C13" s="49">
        <v>46</v>
      </c>
      <c r="D13" s="49">
        <v>46</v>
      </c>
      <c r="E13" s="49">
        <v>46</v>
      </c>
      <c r="F13" s="49">
        <v>46</v>
      </c>
      <c r="G13" s="49">
        <v>46</v>
      </c>
      <c r="H13" s="49">
        <v>46</v>
      </c>
      <c r="I13" s="49">
        <v>46</v>
      </c>
      <c r="J13" s="49">
        <v>46</v>
      </c>
      <c r="K13" s="49">
        <v>46</v>
      </c>
      <c r="L13" s="49">
        <v>46</v>
      </c>
      <c r="M13" s="49">
        <v>46</v>
      </c>
      <c r="N13" s="49">
        <v>46</v>
      </c>
      <c r="O13" s="49">
        <v>46</v>
      </c>
      <c r="P13" s="49">
        <v>46</v>
      </c>
      <c r="Q13" s="49">
        <v>46</v>
      </c>
      <c r="R13" s="49">
        <v>46</v>
      </c>
      <c r="S13" s="49">
        <v>46</v>
      </c>
      <c r="T13" s="49">
        <v>46</v>
      </c>
      <c r="U13" s="49">
        <v>46</v>
      </c>
      <c r="V13" s="49">
        <v>46</v>
      </c>
      <c r="W13" s="49">
        <v>46</v>
      </c>
      <c r="X13" s="49">
        <v>46</v>
      </c>
      <c r="Y13" s="49">
        <v>46</v>
      </c>
      <c r="Z13" s="49">
        <v>46</v>
      </c>
      <c r="AA13" s="49">
        <v>45.8</v>
      </c>
      <c r="AB13" s="49">
        <v>45.8</v>
      </c>
      <c r="AC13" s="49">
        <v>45.8</v>
      </c>
      <c r="AD13" s="49">
        <v>45.8</v>
      </c>
      <c r="AE13" s="49">
        <v>45.8</v>
      </c>
      <c r="AF13" s="49">
        <v>45.8</v>
      </c>
      <c r="AG13" s="56">
        <v>45</v>
      </c>
      <c r="AH13" s="53">
        <f t="shared" si="2"/>
        <v>46</v>
      </c>
      <c r="AI13" s="54">
        <f t="shared" si="3"/>
        <v>45.8</v>
      </c>
      <c r="AK13" s="55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48" t="s">
        <v>22</v>
      </c>
      <c r="B14" s="49">
        <v>28</v>
      </c>
      <c r="C14" s="49">
        <v>28</v>
      </c>
      <c r="D14" s="49">
        <v>28</v>
      </c>
      <c r="E14" s="49">
        <v>28</v>
      </c>
      <c r="F14" s="49">
        <v>28</v>
      </c>
      <c r="G14" s="49">
        <v>28</v>
      </c>
      <c r="H14" s="49">
        <v>28</v>
      </c>
      <c r="I14" s="49">
        <v>28</v>
      </c>
      <c r="J14" s="49">
        <v>28</v>
      </c>
      <c r="K14" s="49">
        <v>28</v>
      </c>
      <c r="L14" s="49">
        <v>28</v>
      </c>
      <c r="M14" s="49">
        <v>28</v>
      </c>
      <c r="N14" s="49">
        <v>28</v>
      </c>
      <c r="O14" s="49">
        <v>28</v>
      </c>
      <c r="P14" s="49">
        <v>28</v>
      </c>
      <c r="Q14" s="49">
        <v>28</v>
      </c>
      <c r="R14" s="49">
        <v>28</v>
      </c>
      <c r="S14" s="49">
        <v>28</v>
      </c>
      <c r="T14" s="49">
        <v>28</v>
      </c>
      <c r="U14" s="49">
        <v>28</v>
      </c>
      <c r="V14" s="49">
        <v>28</v>
      </c>
      <c r="W14" s="49">
        <v>28</v>
      </c>
      <c r="X14" s="49">
        <v>40</v>
      </c>
      <c r="Y14" s="49">
        <v>40</v>
      </c>
      <c r="Z14" s="49">
        <v>40</v>
      </c>
      <c r="AA14" s="49">
        <v>41</v>
      </c>
      <c r="AB14" s="49">
        <v>41</v>
      </c>
      <c r="AC14" s="49">
        <v>41</v>
      </c>
      <c r="AD14" s="49">
        <v>41</v>
      </c>
      <c r="AE14" s="49">
        <v>41</v>
      </c>
      <c r="AF14" s="49">
        <v>35</v>
      </c>
      <c r="AG14" s="56">
        <v>42</v>
      </c>
      <c r="AH14" s="53">
        <f t="shared" si="2"/>
        <v>41</v>
      </c>
      <c r="AI14" s="54">
        <f t="shared" si="3"/>
        <v>28</v>
      </c>
      <c r="AK14" s="55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48" t="s">
        <v>23</v>
      </c>
      <c r="B15" s="49">
        <v>30</v>
      </c>
      <c r="C15" s="49">
        <v>30</v>
      </c>
      <c r="D15" s="49">
        <v>25</v>
      </c>
      <c r="E15" s="49">
        <v>30</v>
      </c>
      <c r="F15" s="49">
        <v>30</v>
      </c>
      <c r="G15" s="49">
        <v>30</v>
      </c>
      <c r="H15" s="49">
        <v>30</v>
      </c>
      <c r="I15" s="49">
        <v>30</v>
      </c>
      <c r="J15" s="49">
        <v>16</v>
      </c>
      <c r="K15" s="49">
        <v>30</v>
      </c>
      <c r="L15" s="49">
        <v>30</v>
      </c>
      <c r="M15" s="49">
        <v>30</v>
      </c>
      <c r="N15" s="49">
        <v>30</v>
      </c>
      <c r="O15" s="49">
        <v>30</v>
      </c>
      <c r="P15" s="49">
        <v>30</v>
      </c>
      <c r="Q15" s="49">
        <v>30</v>
      </c>
      <c r="R15" s="49">
        <v>30</v>
      </c>
      <c r="S15" s="49">
        <v>30</v>
      </c>
      <c r="T15" s="49">
        <v>30</v>
      </c>
      <c r="U15" s="49">
        <v>30</v>
      </c>
      <c r="V15" s="49">
        <v>30</v>
      </c>
      <c r="W15" s="49">
        <v>30</v>
      </c>
      <c r="X15" s="49">
        <v>30</v>
      </c>
      <c r="Y15" s="49">
        <v>30</v>
      </c>
      <c r="Z15" s="49">
        <v>30</v>
      </c>
      <c r="AA15" s="49">
        <v>30</v>
      </c>
      <c r="AB15" s="49">
        <v>30</v>
      </c>
      <c r="AC15" s="49">
        <v>30</v>
      </c>
      <c r="AD15" s="49">
        <v>30</v>
      </c>
      <c r="AE15" s="49">
        <v>30</v>
      </c>
      <c r="AF15" s="49">
        <v>30</v>
      </c>
      <c r="AG15" s="57">
        <v>30</v>
      </c>
      <c r="AH15" s="53">
        <f t="shared" si="2"/>
        <v>30</v>
      </c>
      <c r="AI15" s="54">
        <f t="shared" si="3"/>
        <v>16</v>
      </c>
      <c r="AK15" s="55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48" t="s">
        <v>24</v>
      </c>
      <c r="B16" s="49">
        <v>13</v>
      </c>
      <c r="C16" s="49">
        <v>13</v>
      </c>
      <c r="D16" s="49">
        <v>13</v>
      </c>
      <c r="E16" s="49">
        <v>13</v>
      </c>
      <c r="F16" s="49">
        <v>13</v>
      </c>
      <c r="G16" s="49">
        <v>13</v>
      </c>
      <c r="H16" s="49">
        <v>13</v>
      </c>
      <c r="I16" s="49">
        <v>13</v>
      </c>
      <c r="J16" s="49">
        <v>13</v>
      </c>
      <c r="K16" s="49">
        <v>13</v>
      </c>
      <c r="L16" s="49">
        <v>13</v>
      </c>
      <c r="M16" s="49">
        <v>13</v>
      </c>
      <c r="N16" s="49">
        <v>13</v>
      </c>
      <c r="O16" s="49">
        <v>13</v>
      </c>
      <c r="P16" s="49">
        <v>13</v>
      </c>
      <c r="Q16" s="49">
        <v>13</v>
      </c>
      <c r="R16" s="49">
        <v>13</v>
      </c>
      <c r="S16" s="49">
        <v>13</v>
      </c>
      <c r="T16" s="49">
        <v>13</v>
      </c>
      <c r="U16" s="49">
        <v>13</v>
      </c>
      <c r="V16" s="49">
        <v>13</v>
      </c>
      <c r="W16" s="49">
        <v>13</v>
      </c>
      <c r="X16" s="49">
        <v>13</v>
      </c>
      <c r="Y16" s="49">
        <v>13</v>
      </c>
      <c r="Z16" s="49">
        <v>13</v>
      </c>
      <c r="AA16" s="49">
        <v>13.2</v>
      </c>
      <c r="AB16" s="49">
        <v>13.2</v>
      </c>
      <c r="AC16" s="49">
        <v>13.2</v>
      </c>
      <c r="AD16" s="49">
        <v>13.2</v>
      </c>
      <c r="AE16" s="49">
        <v>13.2</v>
      </c>
      <c r="AF16" s="49">
        <v>13.2</v>
      </c>
      <c r="AG16" s="56">
        <v>25</v>
      </c>
      <c r="AH16" s="53">
        <f t="shared" si="2"/>
        <v>13.2</v>
      </c>
      <c r="AI16" s="54">
        <f t="shared" si="3"/>
        <v>13</v>
      </c>
      <c r="AK16" s="55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48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49">
        <v>25</v>
      </c>
      <c r="M17" s="49">
        <v>25</v>
      </c>
      <c r="N17" s="49">
        <v>25</v>
      </c>
      <c r="O17" s="49">
        <v>25</v>
      </c>
      <c r="P17" s="49">
        <v>25</v>
      </c>
      <c r="Q17" s="49">
        <v>25</v>
      </c>
      <c r="R17" s="49">
        <v>25</v>
      </c>
      <c r="S17" s="49">
        <v>25</v>
      </c>
      <c r="T17" s="49">
        <v>25</v>
      </c>
      <c r="U17" s="49">
        <v>25</v>
      </c>
      <c r="V17" s="49">
        <v>25</v>
      </c>
      <c r="W17" s="49">
        <v>25</v>
      </c>
      <c r="X17" s="49">
        <v>25</v>
      </c>
      <c r="Y17" s="49">
        <v>25</v>
      </c>
      <c r="Z17" s="49">
        <v>25</v>
      </c>
      <c r="AA17" s="49">
        <v>25</v>
      </c>
      <c r="AB17" s="49">
        <v>25</v>
      </c>
      <c r="AC17" s="49">
        <v>25</v>
      </c>
      <c r="AD17" s="49">
        <v>25</v>
      </c>
      <c r="AE17" s="49">
        <v>25</v>
      </c>
      <c r="AF17" s="49">
        <v>25</v>
      </c>
      <c r="AG17" s="56">
        <v>25</v>
      </c>
      <c r="AH17" s="53">
        <f t="shared" si="2"/>
        <v>25</v>
      </c>
      <c r="AI17" s="54">
        <f t="shared" si="3"/>
        <v>25</v>
      </c>
      <c r="AK17" s="55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48" t="s">
        <v>26</v>
      </c>
      <c r="B18" s="49">
        <v>25</v>
      </c>
      <c r="C18" s="49">
        <v>25</v>
      </c>
      <c r="D18" s="49">
        <v>25</v>
      </c>
      <c r="E18" s="49">
        <v>25</v>
      </c>
      <c r="F18" s="49">
        <v>25</v>
      </c>
      <c r="G18" s="49">
        <v>25</v>
      </c>
      <c r="H18" s="49">
        <v>25</v>
      </c>
      <c r="I18" s="49">
        <v>25</v>
      </c>
      <c r="J18" s="49">
        <v>25</v>
      </c>
      <c r="K18" s="49">
        <v>25</v>
      </c>
      <c r="L18" s="49">
        <v>25</v>
      </c>
      <c r="M18" s="49">
        <v>25</v>
      </c>
      <c r="N18" s="49">
        <v>25</v>
      </c>
      <c r="O18" s="49">
        <v>25</v>
      </c>
      <c r="P18" s="49">
        <v>25</v>
      </c>
      <c r="Q18" s="49">
        <v>25</v>
      </c>
      <c r="R18" s="49">
        <v>25</v>
      </c>
      <c r="S18" s="49">
        <v>25</v>
      </c>
      <c r="T18" s="49">
        <v>25</v>
      </c>
      <c r="U18" s="49">
        <v>25</v>
      </c>
      <c r="V18" s="49">
        <v>25</v>
      </c>
      <c r="W18" s="49">
        <v>25</v>
      </c>
      <c r="X18" s="49">
        <v>25</v>
      </c>
      <c r="Y18" s="49">
        <v>25</v>
      </c>
      <c r="Z18" s="49">
        <v>25</v>
      </c>
      <c r="AA18" s="49">
        <v>25</v>
      </c>
      <c r="AB18" s="49">
        <v>25</v>
      </c>
      <c r="AC18" s="49">
        <v>25</v>
      </c>
      <c r="AD18" s="49">
        <v>25</v>
      </c>
      <c r="AE18" s="49">
        <v>25</v>
      </c>
      <c r="AF18" s="49">
        <v>25</v>
      </c>
      <c r="AG18" s="56">
        <v>25</v>
      </c>
      <c r="AH18" s="53">
        <f t="shared" si="2"/>
        <v>25</v>
      </c>
      <c r="AI18" s="54">
        <f t="shared" si="3"/>
        <v>25</v>
      </c>
      <c r="AK18" s="55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48" t="s">
        <v>27</v>
      </c>
      <c r="B19" s="49">
        <v>33.200000000000003</v>
      </c>
      <c r="C19" s="49">
        <v>33.200000000000003</v>
      </c>
      <c r="D19" s="49">
        <v>33.200000000000003</v>
      </c>
      <c r="E19" s="49">
        <v>33.200000000000003</v>
      </c>
      <c r="F19" s="49">
        <v>33.200000000000003</v>
      </c>
      <c r="G19" s="49">
        <v>33.200000000000003</v>
      </c>
      <c r="H19" s="49">
        <v>33.200000000000003</v>
      </c>
      <c r="I19" s="49">
        <v>33.200000000000003</v>
      </c>
      <c r="J19" s="49">
        <v>33.200000000000003</v>
      </c>
      <c r="K19" s="49">
        <v>33.200000000000003</v>
      </c>
      <c r="L19" s="49">
        <v>33.200000000000003</v>
      </c>
      <c r="M19" s="49">
        <v>33.200000000000003</v>
      </c>
      <c r="N19" s="49">
        <v>33.200000000000003</v>
      </c>
      <c r="O19" s="49">
        <v>25.8</v>
      </c>
      <c r="P19" s="49">
        <v>33.299999999999997</v>
      </c>
      <c r="Q19" s="49">
        <v>33.299999999999997</v>
      </c>
      <c r="R19" s="49">
        <v>33.299999999999997</v>
      </c>
      <c r="S19" s="49">
        <v>33.299999999999997</v>
      </c>
      <c r="T19" s="49">
        <v>33.299999999999997</v>
      </c>
      <c r="U19" s="49">
        <v>33.299999999999997</v>
      </c>
      <c r="V19" s="49">
        <v>33.299999999999997</v>
      </c>
      <c r="W19" s="49">
        <v>33.299999999999997</v>
      </c>
      <c r="X19" s="49">
        <v>33.299999999999997</v>
      </c>
      <c r="Y19" s="49">
        <v>33.299999999999997</v>
      </c>
      <c r="Z19" s="49">
        <v>33.299999999999997</v>
      </c>
      <c r="AA19" s="49">
        <v>33.299999999999997</v>
      </c>
      <c r="AB19" s="49">
        <v>33.299999999999997</v>
      </c>
      <c r="AC19" s="49">
        <v>33.299999999999997</v>
      </c>
      <c r="AD19" s="49">
        <v>33.299999999999997</v>
      </c>
      <c r="AE19" s="49">
        <v>33.299999999999997</v>
      </c>
      <c r="AF19" s="49">
        <v>33.299999999999997</v>
      </c>
      <c r="AG19" s="56">
        <v>24.2</v>
      </c>
      <c r="AH19" s="53">
        <f t="shared" si="2"/>
        <v>33.299999999999997</v>
      </c>
      <c r="AI19" s="54">
        <f t="shared" si="3"/>
        <v>25.8</v>
      </c>
      <c r="AK19" s="55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48" t="s">
        <v>28</v>
      </c>
      <c r="B20" s="49">
        <v>22</v>
      </c>
      <c r="C20" s="49">
        <v>22</v>
      </c>
      <c r="D20" s="49">
        <v>22</v>
      </c>
      <c r="E20" s="49">
        <v>22</v>
      </c>
      <c r="F20" s="49">
        <v>22</v>
      </c>
      <c r="G20" s="49">
        <v>22</v>
      </c>
      <c r="H20" s="49">
        <v>22</v>
      </c>
      <c r="I20" s="49">
        <v>22</v>
      </c>
      <c r="J20" s="49">
        <v>22</v>
      </c>
      <c r="K20" s="49">
        <v>22</v>
      </c>
      <c r="L20" s="49">
        <v>22</v>
      </c>
      <c r="M20" s="49">
        <v>22</v>
      </c>
      <c r="N20" s="49">
        <v>22</v>
      </c>
      <c r="O20" s="49">
        <v>20</v>
      </c>
      <c r="P20" s="49">
        <v>20</v>
      </c>
      <c r="Q20" s="49">
        <v>20</v>
      </c>
      <c r="R20" s="49">
        <v>22</v>
      </c>
      <c r="S20" s="49">
        <v>22</v>
      </c>
      <c r="T20" s="49">
        <v>22</v>
      </c>
      <c r="U20" s="49">
        <v>22</v>
      </c>
      <c r="V20" s="49">
        <v>0</v>
      </c>
      <c r="W20" s="49">
        <v>23.6</v>
      </c>
      <c r="X20" s="49">
        <v>23.6</v>
      </c>
      <c r="Y20" s="49">
        <v>23.6</v>
      </c>
      <c r="Z20" s="49">
        <v>23.6</v>
      </c>
      <c r="AA20" s="49">
        <v>23.8</v>
      </c>
      <c r="AB20" s="49">
        <v>23.8</v>
      </c>
      <c r="AC20" s="49">
        <v>23.8</v>
      </c>
      <c r="AD20" s="49">
        <v>23.8</v>
      </c>
      <c r="AE20" s="49">
        <v>23.8</v>
      </c>
      <c r="AF20" s="49">
        <v>23.8</v>
      </c>
      <c r="AG20" s="56">
        <v>23.5</v>
      </c>
      <c r="AH20" s="53">
        <f t="shared" si="2"/>
        <v>23.8</v>
      </c>
      <c r="AI20" s="54">
        <f t="shared" si="3"/>
        <v>0</v>
      </c>
      <c r="AK20" s="55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48" t="s">
        <v>29</v>
      </c>
      <c r="B21" s="49">
        <v>19</v>
      </c>
      <c r="C21" s="49">
        <v>19</v>
      </c>
      <c r="D21" s="49">
        <v>19</v>
      </c>
      <c r="E21" s="49">
        <v>19</v>
      </c>
      <c r="F21" s="49">
        <v>19</v>
      </c>
      <c r="G21" s="49">
        <v>19</v>
      </c>
      <c r="H21" s="49">
        <v>19</v>
      </c>
      <c r="I21" s="49">
        <v>19</v>
      </c>
      <c r="J21" s="49">
        <v>19</v>
      </c>
      <c r="K21" s="49">
        <v>19</v>
      </c>
      <c r="L21" s="49">
        <v>19</v>
      </c>
      <c r="M21" s="49">
        <v>19</v>
      </c>
      <c r="N21" s="49">
        <v>19</v>
      </c>
      <c r="O21" s="49">
        <v>19</v>
      </c>
      <c r="P21" s="49">
        <v>19</v>
      </c>
      <c r="Q21" s="49">
        <v>19</v>
      </c>
      <c r="R21" s="49">
        <v>19</v>
      </c>
      <c r="S21" s="49">
        <v>19</v>
      </c>
      <c r="T21" s="49">
        <v>19</v>
      </c>
      <c r="U21" s="49">
        <v>11</v>
      </c>
      <c r="V21" s="49">
        <v>11</v>
      </c>
      <c r="W21" s="49">
        <v>0</v>
      </c>
      <c r="X21" s="49">
        <v>0</v>
      </c>
      <c r="Y21" s="49">
        <v>0</v>
      </c>
      <c r="Z21" s="49">
        <v>11</v>
      </c>
      <c r="AA21" s="49">
        <v>11</v>
      </c>
      <c r="AB21" s="49">
        <v>11</v>
      </c>
      <c r="AC21" s="49">
        <v>11</v>
      </c>
      <c r="AD21" s="49">
        <v>11</v>
      </c>
      <c r="AE21" s="49">
        <v>11</v>
      </c>
      <c r="AF21" s="49">
        <v>11</v>
      </c>
      <c r="AG21" s="56">
        <v>22.2</v>
      </c>
      <c r="AH21" s="53">
        <f t="shared" si="2"/>
        <v>19</v>
      </c>
      <c r="AI21" s="54">
        <f t="shared" si="3"/>
        <v>0</v>
      </c>
      <c r="AK21" s="55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48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49">
        <v>22</v>
      </c>
      <c r="R22" s="49">
        <v>22</v>
      </c>
      <c r="S22" s="49">
        <v>22</v>
      </c>
      <c r="T22" s="49">
        <v>22</v>
      </c>
      <c r="U22" s="49">
        <v>22</v>
      </c>
      <c r="V22" s="49">
        <v>22</v>
      </c>
      <c r="W22" s="49">
        <v>22</v>
      </c>
      <c r="X22" s="49">
        <v>22</v>
      </c>
      <c r="Y22" s="49">
        <v>22</v>
      </c>
      <c r="Z22" s="49">
        <v>22</v>
      </c>
      <c r="AA22" s="49">
        <v>22</v>
      </c>
      <c r="AB22" s="49">
        <v>22</v>
      </c>
      <c r="AC22" s="49">
        <v>22</v>
      </c>
      <c r="AD22" s="49">
        <v>22</v>
      </c>
      <c r="AE22" s="49">
        <v>22</v>
      </c>
      <c r="AF22" s="49">
        <v>22</v>
      </c>
      <c r="AG22" s="56">
        <v>22.1</v>
      </c>
      <c r="AH22" s="53">
        <f t="shared" si="2"/>
        <v>22</v>
      </c>
      <c r="AI22" s="54">
        <f t="shared" si="3"/>
        <v>22</v>
      </c>
      <c r="AK22" s="55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48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49">
        <v>22</v>
      </c>
      <c r="X23" s="49">
        <v>22</v>
      </c>
      <c r="Y23" s="49">
        <v>22</v>
      </c>
      <c r="Z23" s="49">
        <v>22</v>
      </c>
      <c r="AA23" s="49">
        <v>22</v>
      </c>
      <c r="AB23" s="49">
        <v>22</v>
      </c>
      <c r="AC23" s="49">
        <v>22</v>
      </c>
      <c r="AD23" s="49">
        <v>22</v>
      </c>
      <c r="AE23" s="49">
        <v>22</v>
      </c>
      <c r="AF23" s="49">
        <v>22</v>
      </c>
      <c r="AG23" s="56">
        <v>22</v>
      </c>
      <c r="AH23" s="53">
        <f t="shared" si="2"/>
        <v>22</v>
      </c>
      <c r="AI23" s="54">
        <f t="shared" si="3"/>
        <v>22</v>
      </c>
      <c r="AK23" s="55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48" t="s">
        <v>32</v>
      </c>
      <c r="B24" s="49">
        <v>20</v>
      </c>
      <c r="C24" s="49">
        <v>20</v>
      </c>
      <c r="D24" s="49">
        <v>20</v>
      </c>
      <c r="E24" s="49">
        <v>20</v>
      </c>
      <c r="F24" s="49">
        <v>20</v>
      </c>
      <c r="G24" s="49">
        <v>20</v>
      </c>
      <c r="H24" s="49">
        <v>20</v>
      </c>
      <c r="I24" s="49">
        <v>20</v>
      </c>
      <c r="J24" s="49">
        <v>20</v>
      </c>
      <c r="K24" s="49">
        <v>20</v>
      </c>
      <c r="L24" s="49">
        <v>20</v>
      </c>
      <c r="M24" s="49">
        <v>20</v>
      </c>
      <c r="N24" s="49">
        <v>20</v>
      </c>
      <c r="O24" s="49">
        <v>20</v>
      </c>
      <c r="P24" s="49">
        <v>20</v>
      </c>
      <c r="Q24" s="49">
        <v>20</v>
      </c>
      <c r="R24" s="49">
        <v>20</v>
      </c>
      <c r="S24" s="49">
        <v>20</v>
      </c>
      <c r="T24" s="49">
        <v>20</v>
      </c>
      <c r="U24" s="49">
        <v>20</v>
      </c>
      <c r="V24" s="49">
        <v>20</v>
      </c>
      <c r="W24" s="49">
        <v>20</v>
      </c>
      <c r="X24" s="49">
        <v>20</v>
      </c>
      <c r="Y24" s="49">
        <v>20</v>
      </c>
      <c r="Z24" s="49">
        <v>20</v>
      </c>
      <c r="AA24" s="49">
        <v>22</v>
      </c>
      <c r="AB24" s="49">
        <v>22</v>
      </c>
      <c r="AC24" s="49">
        <v>22</v>
      </c>
      <c r="AD24" s="49">
        <v>22</v>
      </c>
      <c r="AE24" s="49">
        <v>22</v>
      </c>
      <c r="AF24" s="49">
        <v>22</v>
      </c>
      <c r="AG24" s="56">
        <v>22</v>
      </c>
      <c r="AH24" s="53">
        <f t="shared" si="2"/>
        <v>22</v>
      </c>
      <c r="AI24" s="54">
        <f t="shared" si="3"/>
        <v>20</v>
      </c>
      <c r="AK24" s="108">
        <f>AG38+AG42+AG56+AG60+AG76-85+327</f>
        <v>2097.1900000000005</v>
      </c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48" t="s">
        <v>33</v>
      </c>
      <c r="B25" s="49">
        <v>17</v>
      </c>
      <c r="C25" s="49">
        <v>20</v>
      </c>
      <c r="D25" s="49">
        <v>20</v>
      </c>
      <c r="E25" s="49">
        <v>20</v>
      </c>
      <c r="F25" s="49">
        <v>20</v>
      </c>
      <c r="G25" s="49">
        <v>20</v>
      </c>
      <c r="H25" s="49">
        <v>20</v>
      </c>
      <c r="I25" s="49">
        <v>20</v>
      </c>
      <c r="J25" s="49">
        <v>10</v>
      </c>
      <c r="K25" s="49">
        <v>20</v>
      </c>
      <c r="L25" s="49">
        <v>20</v>
      </c>
      <c r="M25" s="49">
        <v>20</v>
      </c>
      <c r="N25" s="49">
        <v>20</v>
      </c>
      <c r="O25" s="49">
        <v>20</v>
      </c>
      <c r="P25" s="49">
        <v>20</v>
      </c>
      <c r="Q25" s="49">
        <v>20</v>
      </c>
      <c r="R25" s="49">
        <v>20</v>
      </c>
      <c r="S25" s="49">
        <v>20</v>
      </c>
      <c r="T25" s="49">
        <v>20</v>
      </c>
      <c r="U25" s="49">
        <v>20</v>
      </c>
      <c r="V25" s="49">
        <v>20</v>
      </c>
      <c r="W25" s="49">
        <v>20</v>
      </c>
      <c r="X25" s="49">
        <v>10</v>
      </c>
      <c r="Y25" s="49">
        <v>10</v>
      </c>
      <c r="Z25" s="49">
        <v>10</v>
      </c>
      <c r="AA25" s="49">
        <v>10</v>
      </c>
      <c r="AB25" s="49">
        <v>10</v>
      </c>
      <c r="AC25" s="49">
        <v>10</v>
      </c>
      <c r="AD25" s="49">
        <v>10</v>
      </c>
      <c r="AE25" s="49">
        <v>10</v>
      </c>
      <c r="AF25" s="49">
        <v>10</v>
      </c>
      <c r="AG25" s="56">
        <v>20</v>
      </c>
      <c r="AH25" s="53">
        <f t="shared" si="2"/>
        <v>20</v>
      </c>
      <c r="AI25" s="54">
        <f t="shared" si="3"/>
        <v>10</v>
      </c>
      <c r="AK25" s="55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48" t="s">
        <v>34</v>
      </c>
      <c r="B26" s="49">
        <v>14.9</v>
      </c>
      <c r="C26" s="49">
        <v>14.9</v>
      </c>
      <c r="D26" s="49">
        <v>14.9</v>
      </c>
      <c r="E26" s="49">
        <v>14.9</v>
      </c>
      <c r="F26" s="49">
        <v>14.9</v>
      </c>
      <c r="G26" s="49">
        <v>14.9</v>
      </c>
      <c r="H26" s="49">
        <v>14.9</v>
      </c>
      <c r="I26" s="49">
        <v>14.9</v>
      </c>
      <c r="J26" s="49">
        <v>14.9</v>
      </c>
      <c r="K26" s="49">
        <v>14.9</v>
      </c>
      <c r="L26" s="49">
        <v>14.9</v>
      </c>
      <c r="M26" s="49">
        <v>14.9</v>
      </c>
      <c r="N26" s="49">
        <v>14.9</v>
      </c>
      <c r="O26" s="49">
        <v>14.9</v>
      </c>
      <c r="P26" s="49">
        <v>14.9</v>
      </c>
      <c r="Q26" s="49">
        <v>14.9</v>
      </c>
      <c r="R26" s="49">
        <v>14.9</v>
      </c>
      <c r="S26" s="49">
        <v>14.9</v>
      </c>
      <c r="T26" s="49">
        <v>14.9</v>
      </c>
      <c r="U26" s="49">
        <v>14.9</v>
      </c>
      <c r="V26" s="49">
        <v>14.9</v>
      </c>
      <c r="W26" s="49">
        <v>14.9</v>
      </c>
      <c r="X26" s="49">
        <v>14.9</v>
      </c>
      <c r="Y26" s="49">
        <v>14.9</v>
      </c>
      <c r="Z26" s="49">
        <v>14.9</v>
      </c>
      <c r="AA26" s="49">
        <v>14.9</v>
      </c>
      <c r="AB26" s="49">
        <v>14.9</v>
      </c>
      <c r="AC26" s="49">
        <v>14.9</v>
      </c>
      <c r="AD26" s="49">
        <v>14.9</v>
      </c>
      <c r="AE26" s="49">
        <v>14.9</v>
      </c>
      <c r="AF26" s="49">
        <v>14.9</v>
      </c>
      <c r="AG26" s="56">
        <v>14.9</v>
      </c>
      <c r="AH26" s="53">
        <f t="shared" si="2"/>
        <v>14.9</v>
      </c>
      <c r="AI26" s="54">
        <f t="shared" si="3"/>
        <v>14.9</v>
      </c>
      <c r="AK26" s="55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48" t="s">
        <v>35</v>
      </c>
      <c r="B27" s="49">
        <v>12</v>
      </c>
      <c r="C27" s="49">
        <v>12</v>
      </c>
      <c r="D27" s="49">
        <v>12</v>
      </c>
      <c r="E27" s="49">
        <v>12</v>
      </c>
      <c r="F27" s="49">
        <v>12</v>
      </c>
      <c r="G27" s="49">
        <v>12</v>
      </c>
      <c r="H27" s="49">
        <v>12</v>
      </c>
      <c r="I27" s="49">
        <v>12</v>
      </c>
      <c r="J27" s="49">
        <v>12</v>
      </c>
      <c r="K27" s="49">
        <v>12</v>
      </c>
      <c r="L27" s="49">
        <v>12</v>
      </c>
      <c r="M27" s="49">
        <v>12</v>
      </c>
      <c r="N27" s="49">
        <v>12</v>
      </c>
      <c r="O27" s="49">
        <v>12</v>
      </c>
      <c r="P27" s="49">
        <v>12</v>
      </c>
      <c r="Q27" s="49">
        <v>12</v>
      </c>
      <c r="R27" s="49">
        <v>12</v>
      </c>
      <c r="S27" s="49">
        <v>12</v>
      </c>
      <c r="T27" s="49">
        <v>12</v>
      </c>
      <c r="U27" s="49">
        <v>12</v>
      </c>
      <c r="V27" s="49">
        <v>12</v>
      </c>
      <c r="W27" s="49">
        <v>12</v>
      </c>
      <c r="X27" s="49">
        <v>12</v>
      </c>
      <c r="Y27" s="49">
        <v>12</v>
      </c>
      <c r="Z27" s="49">
        <v>12</v>
      </c>
      <c r="AA27" s="49">
        <v>12</v>
      </c>
      <c r="AB27" s="49">
        <v>12</v>
      </c>
      <c r="AC27" s="49">
        <v>12</v>
      </c>
      <c r="AD27" s="49">
        <v>12</v>
      </c>
      <c r="AE27" s="49">
        <v>12</v>
      </c>
      <c r="AF27" s="49">
        <v>12</v>
      </c>
      <c r="AG27" s="56">
        <v>13.6</v>
      </c>
      <c r="AH27" s="53">
        <f t="shared" si="2"/>
        <v>12</v>
      </c>
      <c r="AI27" s="54">
        <f t="shared" si="3"/>
        <v>12</v>
      </c>
      <c r="AK27" s="55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48" t="s">
        <v>36</v>
      </c>
      <c r="B28" s="49">
        <v>13</v>
      </c>
      <c r="C28" s="49">
        <v>13</v>
      </c>
      <c r="D28" s="49">
        <v>13</v>
      </c>
      <c r="E28" s="49">
        <v>13</v>
      </c>
      <c r="F28" s="49">
        <v>13</v>
      </c>
      <c r="G28" s="49">
        <v>13</v>
      </c>
      <c r="H28" s="49">
        <v>13</v>
      </c>
      <c r="I28" s="49">
        <v>13</v>
      </c>
      <c r="J28" s="49">
        <v>13</v>
      </c>
      <c r="K28" s="49">
        <v>13</v>
      </c>
      <c r="L28" s="49">
        <v>13</v>
      </c>
      <c r="M28" s="49">
        <v>13</v>
      </c>
      <c r="N28" s="49">
        <v>13</v>
      </c>
      <c r="O28" s="49">
        <v>13</v>
      </c>
      <c r="P28" s="49">
        <v>13</v>
      </c>
      <c r="Q28" s="49">
        <v>13</v>
      </c>
      <c r="R28" s="49">
        <v>13</v>
      </c>
      <c r="S28" s="49">
        <v>13</v>
      </c>
      <c r="T28" s="49">
        <v>13</v>
      </c>
      <c r="U28" s="49">
        <v>13</v>
      </c>
      <c r="V28" s="49">
        <v>13</v>
      </c>
      <c r="W28" s="49">
        <v>13</v>
      </c>
      <c r="X28" s="49">
        <v>13</v>
      </c>
      <c r="Y28" s="49">
        <v>13</v>
      </c>
      <c r="Z28" s="49">
        <v>13</v>
      </c>
      <c r="AA28" s="49">
        <v>13</v>
      </c>
      <c r="AB28" s="49">
        <v>13</v>
      </c>
      <c r="AC28" s="49">
        <v>13</v>
      </c>
      <c r="AD28" s="49">
        <v>13</v>
      </c>
      <c r="AE28" s="49">
        <v>13</v>
      </c>
      <c r="AF28" s="49">
        <v>13</v>
      </c>
      <c r="AG28" s="56">
        <v>13</v>
      </c>
      <c r="AH28" s="53">
        <f t="shared" si="2"/>
        <v>13</v>
      </c>
      <c r="AI28" s="54">
        <f t="shared" si="3"/>
        <v>13</v>
      </c>
      <c r="AK28" s="55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48" t="s">
        <v>37</v>
      </c>
      <c r="B29" s="49">
        <v>8</v>
      </c>
      <c r="C29" s="49">
        <v>8</v>
      </c>
      <c r="D29" s="49">
        <v>8</v>
      </c>
      <c r="E29" s="49">
        <v>8</v>
      </c>
      <c r="F29" s="49">
        <v>8</v>
      </c>
      <c r="G29" s="49">
        <v>8</v>
      </c>
      <c r="H29" s="49">
        <v>8</v>
      </c>
      <c r="I29" s="49">
        <v>8</v>
      </c>
      <c r="J29" s="49">
        <v>8</v>
      </c>
      <c r="K29" s="49">
        <v>8</v>
      </c>
      <c r="L29" s="49">
        <v>8</v>
      </c>
      <c r="M29" s="49">
        <v>8</v>
      </c>
      <c r="N29" s="49">
        <v>8</v>
      </c>
      <c r="O29" s="49">
        <v>8</v>
      </c>
      <c r="P29" s="49">
        <v>8</v>
      </c>
      <c r="Q29" s="49">
        <v>8</v>
      </c>
      <c r="R29" s="49">
        <v>8</v>
      </c>
      <c r="S29" s="49">
        <v>8</v>
      </c>
      <c r="T29" s="49">
        <v>8</v>
      </c>
      <c r="U29" s="49">
        <v>8</v>
      </c>
      <c r="V29" s="49">
        <v>8</v>
      </c>
      <c r="W29" s="49">
        <v>8</v>
      </c>
      <c r="X29" s="49">
        <v>8</v>
      </c>
      <c r="Y29" s="49">
        <v>8</v>
      </c>
      <c r="Z29" s="49">
        <v>8</v>
      </c>
      <c r="AA29" s="49">
        <v>8</v>
      </c>
      <c r="AB29" s="49">
        <v>8</v>
      </c>
      <c r="AC29" s="49">
        <v>8</v>
      </c>
      <c r="AD29" s="49">
        <v>8</v>
      </c>
      <c r="AE29" s="49">
        <v>8</v>
      </c>
      <c r="AF29" s="49">
        <v>8</v>
      </c>
      <c r="AG29" s="56">
        <v>12</v>
      </c>
      <c r="AH29" s="53">
        <f t="shared" si="2"/>
        <v>8</v>
      </c>
      <c r="AI29" s="54">
        <f t="shared" si="3"/>
        <v>8</v>
      </c>
      <c r="AK29" s="55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48" t="s">
        <v>38</v>
      </c>
      <c r="B30" s="49">
        <v>2</v>
      </c>
      <c r="C30" s="49">
        <v>2</v>
      </c>
      <c r="D30" s="49">
        <v>2</v>
      </c>
      <c r="E30" s="49">
        <v>2</v>
      </c>
      <c r="F30" s="49">
        <v>2</v>
      </c>
      <c r="G30" s="49">
        <v>2</v>
      </c>
      <c r="H30" s="49">
        <v>2</v>
      </c>
      <c r="I30" s="49">
        <v>2</v>
      </c>
      <c r="J30" s="49">
        <v>2</v>
      </c>
      <c r="K30" s="49">
        <v>2</v>
      </c>
      <c r="L30" s="49">
        <v>2</v>
      </c>
      <c r="M30" s="49">
        <v>2</v>
      </c>
      <c r="N30" s="49">
        <v>2</v>
      </c>
      <c r="O30" s="49">
        <v>2</v>
      </c>
      <c r="P30" s="49">
        <v>2</v>
      </c>
      <c r="Q30" s="49">
        <v>2</v>
      </c>
      <c r="R30" s="49">
        <v>2</v>
      </c>
      <c r="S30" s="49">
        <v>2</v>
      </c>
      <c r="T30" s="49">
        <v>2</v>
      </c>
      <c r="U30" s="49">
        <v>2</v>
      </c>
      <c r="V30" s="49">
        <v>2</v>
      </c>
      <c r="W30" s="49">
        <v>2</v>
      </c>
      <c r="X30" s="49">
        <v>2</v>
      </c>
      <c r="Y30" s="49">
        <v>2</v>
      </c>
      <c r="Z30" s="49">
        <v>2</v>
      </c>
      <c r="AA30" s="49">
        <v>2</v>
      </c>
      <c r="AB30" s="49">
        <v>2</v>
      </c>
      <c r="AC30" s="49">
        <v>2</v>
      </c>
      <c r="AD30" s="49">
        <v>2</v>
      </c>
      <c r="AE30" s="49">
        <v>2</v>
      </c>
      <c r="AF30" s="49">
        <v>2</v>
      </c>
      <c r="AG30" s="56">
        <v>12</v>
      </c>
      <c r="AH30" s="53">
        <f t="shared" si="2"/>
        <v>2</v>
      </c>
      <c r="AI30" s="54">
        <f t="shared" si="3"/>
        <v>2</v>
      </c>
      <c r="AK30" s="55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48" t="s">
        <v>39</v>
      </c>
      <c r="B31" s="49">
        <v>12</v>
      </c>
      <c r="C31" s="49">
        <v>12</v>
      </c>
      <c r="D31" s="49">
        <v>12</v>
      </c>
      <c r="E31" s="49">
        <v>12</v>
      </c>
      <c r="F31" s="49">
        <v>12</v>
      </c>
      <c r="G31" s="49">
        <v>12</v>
      </c>
      <c r="H31" s="49">
        <v>12</v>
      </c>
      <c r="I31" s="49">
        <v>12</v>
      </c>
      <c r="J31" s="49">
        <v>12</v>
      </c>
      <c r="K31" s="49">
        <v>12</v>
      </c>
      <c r="L31" s="49">
        <v>12</v>
      </c>
      <c r="M31" s="49">
        <v>12</v>
      </c>
      <c r="N31" s="49">
        <v>12</v>
      </c>
      <c r="O31" s="49">
        <v>12</v>
      </c>
      <c r="P31" s="49">
        <v>12</v>
      </c>
      <c r="Q31" s="49">
        <v>12</v>
      </c>
      <c r="R31" s="49">
        <v>12</v>
      </c>
      <c r="S31" s="49">
        <v>12</v>
      </c>
      <c r="T31" s="49">
        <v>12</v>
      </c>
      <c r="U31" s="49">
        <v>12</v>
      </c>
      <c r="V31" s="49">
        <v>12</v>
      </c>
      <c r="W31" s="49">
        <v>12</v>
      </c>
      <c r="X31" s="49">
        <v>12</v>
      </c>
      <c r="Y31" s="49">
        <v>12</v>
      </c>
      <c r="Z31" s="49">
        <v>12</v>
      </c>
      <c r="AA31" s="49">
        <v>12</v>
      </c>
      <c r="AB31" s="49">
        <v>12</v>
      </c>
      <c r="AC31" s="49">
        <v>12</v>
      </c>
      <c r="AD31" s="49">
        <v>12</v>
      </c>
      <c r="AE31" s="49">
        <v>12</v>
      </c>
      <c r="AF31" s="49">
        <v>12</v>
      </c>
      <c r="AG31" s="58">
        <v>22</v>
      </c>
      <c r="AH31" s="53">
        <f>MAX(B31:AF31)</f>
        <v>12</v>
      </c>
      <c r="AI31" s="54">
        <f>MIN(B31:AF31)</f>
        <v>12</v>
      </c>
      <c r="AK31" s="55"/>
      <c r="AL31" s="30"/>
      <c r="AM31" s="26"/>
      <c r="AN31" s="26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48" t="s">
        <v>40</v>
      </c>
      <c r="B32" s="49">
        <v>11</v>
      </c>
      <c r="C32" s="49">
        <v>11</v>
      </c>
      <c r="D32" s="49">
        <v>11</v>
      </c>
      <c r="E32" s="49">
        <v>11</v>
      </c>
      <c r="F32" s="49">
        <v>11</v>
      </c>
      <c r="G32" s="49">
        <v>11</v>
      </c>
      <c r="H32" s="49">
        <v>11</v>
      </c>
      <c r="I32" s="49">
        <v>11</v>
      </c>
      <c r="J32" s="49">
        <v>11</v>
      </c>
      <c r="K32" s="49">
        <v>11</v>
      </c>
      <c r="L32" s="49">
        <v>11</v>
      </c>
      <c r="M32" s="49">
        <v>11</v>
      </c>
      <c r="N32" s="49">
        <v>11</v>
      </c>
      <c r="O32" s="49">
        <v>11</v>
      </c>
      <c r="P32" s="49">
        <v>11</v>
      </c>
      <c r="Q32" s="49">
        <v>11</v>
      </c>
      <c r="R32" s="49">
        <v>11</v>
      </c>
      <c r="S32" s="49">
        <v>11</v>
      </c>
      <c r="T32" s="49">
        <v>11</v>
      </c>
      <c r="U32" s="49">
        <v>11</v>
      </c>
      <c r="V32" s="49">
        <v>11</v>
      </c>
      <c r="W32" s="49">
        <v>11</v>
      </c>
      <c r="X32" s="49">
        <v>11</v>
      </c>
      <c r="Y32" s="49">
        <v>11</v>
      </c>
      <c r="Z32" s="49">
        <v>11</v>
      </c>
      <c r="AA32" s="49">
        <v>11</v>
      </c>
      <c r="AB32" s="49">
        <v>11</v>
      </c>
      <c r="AC32" s="49">
        <v>11</v>
      </c>
      <c r="AD32" s="49">
        <v>11</v>
      </c>
      <c r="AE32" s="49">
        <v>11</v>
      </c>
      <c r="AF32" s="49">
        <v>11</v>
      </c>
      <c r="AG32" s="57">
        <v>11.88</v>
      </c>
      <c r="AH32" s="53">
        <f t="shared" si="2"/>
        <v>11</v>
      </c>
      <c r="AI32" s="54">
        <f t="shared" si="3"/>
        <v>11</v>
      </c>
      <c r="AK32" s="55"/>
      <c r="AL32" s="30"/>
      <c r="AM32" s="26"/>
      <c r="AN32" s="26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1" t="s">
        <v>41</v>
      </c>
      <c r="B33" s="49">
        <v>11</v>
      </c>
      <c r="C33" s="49">
        <v>11</v>
      </c>
      <c r="D33" s="49">
        <v>11</v>
      </c>
      <c r="E33" s="49">
        <v>11</v>
      </c>
      <c r="F33" s="49">
        <v>11</v>
      </c>
      <c r="G33" s="49">
        <v>11</v>
      </c>
      <c r="H33" s="49">
        <v>11</v>
      </c>
      <c r="I33" s="49">
        <v>11</v>
      </c>
      <c r="J33" s="49">
        <v>11</v>
      </c>
      <c r="K33" s="49">
        <v>11</v>
      </c>
      <c r="L33" s="49">
        <v>11</v>
      </c>
      <c r="M33" s="49">
        <v>11</v>
      </c>
      <c r="N33" s="49">
        <v>11</v>
      </c>
      <c r="O33" s="49">
        <v>11</v>
      </c>
      <c r="P33" s="49">
        <v>11</v>
      </c>
      <c r="Q33" s="49">
        <v>11</v>
      </c>
      <c r="R33" s="49">
        <v>11</v>
      </c>
      <c r="S33" s="49">
        <v>11</v>
      </c>
      <c r="T33" s="49">
        <v>11</v>
      </c>
      <c r="U33" s="49">
        <v>11</v>
      </c>
      <c r="V33" s="49">
        <v>11</v>
      </c>
      <c r="W33" s="49">
        <v>11</v>
      </c>
      <c r="X33" s="49">
        <v>11</v>
      </c>
      <c r="Y33" s="49">
        <v>11</v>
      </c>
      <c r="Z33" s="49">
        <v>11</v>
      </c>
      <c r="AA33" s="49">
        <v>11</v>
      </c>
      <c r="AB33" s="49">
        <v>11</v>
      </c>
      <c r="AC33" s="49">
        <v>11</v>
      </c>
      <c r="AD33" s="49">
        <v>11</v>
      </c>
      <c r="AE33" s="49">
        <v>11</v>
      </c>
      <c r="AF33" s="49">
        <v>11</v>
      </c>
      <c r="AG33" s="62">
        <v>11</v>
      </c>
      <c r="AH33" s="53">
        <f t="shared" si="2"/>
        <v>11</v>
      </c>
      <c r="AI33" s="54">
        <f t="shared" si="3"/>
        <v>11</v>
      </c>
      <c r="AK33" s="55"/>
      <c r="AL33" s="30"/>
      <c r="AM33" s="26"/>
      <c r="AN33" s="26"/>
      <c r="AO33" s="26"/>
      <c r="AP33" s="26"/>
      <c r="AQ33" s="59"/>
      <c r="AR33" s="60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ht="14.25" customHeight="1" x14ac:dyDescent="0.25">
      <c r="A34" s="61" t="s">
        <v>42</v>
      </c>
      <c r="B34" s="49">
        <v>9.3000000000000007</v>
      </c>
      <c r="C34" s="49">
        <v>9.3000000000000007</v>
      </c>
      <c r="D34" s="49">
        <v>9.3000000000000007</v>
      </c>
      <c r="E34" s="49">
        <v>9.3000000000000007</v>
      </c>
      <c r="F34" s="49">
        <v>9.3000000000000007</v>
      </c>
      <c r="G34" s="49">
        <v>9.3000000000000007</v>
      </c>
      <c r="H34" s="49">
        <v>9.3000000000000007</v>
      </c>
      <c r="I34" s="49">
        <v>9.3000000000000007</v>
      </c>
      <c r="J34" s="49">
        <v>9.3000000000000007</v>
      </c>
      <c r="K34" s="49">
        <v>9.3000000000000007</v>
      </c>
      <c r="L34" s="49">
        <v>9.3000000000000007</v>
      </c>
      <c r="M34" s="49">
        <v>9.3000000000000007</v>
      </c>
      <c r="N34" s="49">
        <v>9.3000000000000007</v>
      </c>
      <c r="O34" s="49">
        <v>9.3000000000000007</v>
      </c>
      <c r="P34" s="49">
        <v>9.3000000000000007</v>
      </c>
      <c r="Q34" s="49">
        <v>9.3000000000000007</v>
      </c>
      <c r="R34" s="49">
        <v>9.3000000000000007</v>
      </c>
      <c r="S34" s="49">
        <v>9.3000000000000007</v>
      </c>
      <c r="T34" s="49">
        <v>9.3000000000000007</v>
      </c>
      <c r="U34" s="49">
        <v>9.3000000000000007</v>
      </c>
      <c r="V34" s="49">
        <v>9.3000000000000007</v>
      </c>
      <c r="W34" s="49">
        <v>9.3000000000000007</v>
      </c>
      <c r="X34" s="49">
        <v>9.3000000000000007</v>
      </c>
      <c r="Y34" s="49">
        <v>9.3000000000000007</v>
      </c>
      <c r="Z34" s="49">
        <v>9.3000000000000007</v>
      </c>
      <c r="AA34" s="49">
        <v>9.3000000000000007</v>
      </c>
      <c r="AB34" s="49">
        <v>9.3000000000000007</v>
      </c>
      <c r="AC34" s="49">
        <v>9.3000000000000007</v>
      </c>
      <c r="AD34" s="49">
        <v>9.3000000000000007</v>
      </c>
      <c r="AE34" s="49">
        <v>9.3000000000000007</v>
      </c>
      <c r="AF34" s="49">
        <v>9.3000000000000007</v>
      </c>
      <c r="AG34" s="62">
        <v>10</v>
      </c>
      <c r="AH34" s="53">
        <f t="shared" si="2"/>
        <v>9.3000000000000007</v>
      </c>
      <c r="AI34" s="54">
        <f t="shared" si="3"/>
        <v>9.3000000000000007</v>
      </c>
      <c r="AK34" s="55"/>
      <c r="AL34" s="30"/>
      <c r="AM34" s="26"/>
      <c r="AN34" s="26"/>
      <c r="AO34" s="26"/>
      <c r="AP34" s="26"/>
      <c r="AQ34" s="59"/>
      <c r="AR34" s="60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1" t="s">
        <v>43</v>
      </c>
      <c r="B35" s="49">
        <v>0</v>
      </c>
      <c r="C35" s="49">
        <v>0</v>
      </c>
      <c r="D35" s="49">
        <v>0</v>
      </c>
      <c r="E35" s="49">
        <v>0</v>
      </c>
      <c r="F35" s="49">
        <v>0</v>
      </c>
      <c r="G35" s="49">
        <v>0</v>
      </c>
      <c r="H35" s="49">
        <v>0</v>
      </c>
      <c r="I35" s="49">
        <v>0</v>
      </c>
      <c r="J35" s="49">
        <v>0</v>
      </c>
      <c r="K35" s="49">
        <v>0</v>
      </c>
      <c r="L35" s="49">
        <v>0</v>
      </c>
      <c r="M35" s="49">
        <v>2</v>
      </c>
      <c r="N35" s="49">
        <v>2</v>
      </c>
      <c r="O35" s="49">
        <v>2</v>
      </c>
      <c r="P35" s="49">
        <v>2</v>
      </c>
      <c r="Q35" s="49">
        <v>2</v>
      </c>
      <c r="R35" s="49">
        <v>2</v>
      </c>
      <c r="S35" s="49">
        <v>2</v>
      </c>
      <c r="T35" s="49">
        <v>2</v>
      </c>
      <c r="U35" s="49">
        <v>2</v>
      </c>
      <c r="V35" s="49">
        <v>2</v>
      </c>
      <c r="W35" s="49">
        <v>2</v>
      </c>
      <c r="X35" s="49">
        <v>2</v>
      </c>
      <c r="Y35" s="49">
        <v>0</v>
      </c>
      <c r="Z35" s="49">
        <v>0</v>
      </c>
      <c r="AA35" s="49">
        <v>0</v>
      </c>
      <c r="AB35" s="49">
        <v>0</v>
      </c>
      <c r="AC35" s="49">
        <v>0</v>
      </c>
      <c r="AD35" s="49">
        <v>0</v>
      </c>
      <c r="AE35" s="49">
        <v>0</v>
      </c>
      <c r="AF35" s="49">
        <v>0</v>
      </c>
      <c r="AG35" s="62">
        <v>10</v>
      </c>
      <c r="AH35" s="53">
        <f t="shared" si="2"/>
        <v>2</v>
      </c>
      <c r="AI35" s="54">
        <f t="shared" si="3"/>
        <v>0</v>
      </c>
      <c r="AK35" s="55"/>
      <c r="AL35" s="30"/>
      <c r="AO35" s="26"/>
      <c r="AP35" s="26"/>
      <c r="AQ35" s="59"/>
      <c r="AR35" s="60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3" t="s">
        <v>44</v>
      </c>
      <c r="B36" s="64">
        <v>327</v>
      </c>
      <c r="C36" s="64">
        <v>327</v>
      </c>
      <c r="D36" s="64">
        <v>327</v>
      </c>
      <c r="E36" s="64">
        <v>327</v>
      </c>
      <c r="F36" s="64">
        <v>327</v>
      </c>
      <c r="G36" s="64">
        <v>327</v>
      </c>
      <c r="H36" s="64">
        <v>327</v>
      </c>
      <c r="I36" s="64">
        <v>327</v>
      </c>
      <c r="J36" s="64">
        <v>327</v>
      </c>
      <c r="K36" s="64">
        <v>327</v>
      </c>
      <c r="L36" s="64">
        <v>327</v>
      </c>
      <c r="M36" s="64">
        <v>327</v>
      </c>
      <c r="N36" s="64">
        <v>327</v>
      </c>
      <c r="O36" s="64">
        <v>327</v>
      </c>
      <c r="P36" s="64">
        <v>327</v>
      </c>
      <c r="Q36" s="64">
        <v>327</v>
      </c>
      <c r="R36" s="64">
        <v>327</v>
      </c>
      <c r="S36" s="64">
        <v>327</v>
      </c>
      <c r="T36" s="64">
        <v>327</v>
      </c>
      <c r="U36" s="64">
        <v>327</v>
      </c>
      <c r="V36" s="64">
        <v>327</v>
      </c>
      <c r="W36" s="64">
        <v>327</v>
      </c>
      <c r="X36" s="64">
        <v>327</v>
      </c>
      <c r="Y36" s="64">
        <v>327</v>
      </c>
      <c r="Z36" s="64">
        <v>327</v>
      </c>
      <c r="AA36" s="64">
        <v>327</v>
      </c>
      <c r="AB36" s="64">
        <v>327</v>
      </c>
      <c r="AC36" s="64">
        <v>327</v>
      </c>
      <c r="AD36" s="64">
        <v>327</v>
      </c>
      <c r="AE36" s="64">
        <v>327</v>
      </c>
      <c r="AF36" s="64">
        <v>327</v>
      </c>
      <c r="AG36" s="62">
        <v>85</v>
      </c>
      <c r="AH36" s="53">
        <f t="shared" si="2"/>
        <v>327</v>
      </c>
      <c r="AI36" s="54">
        <f t="shared" si="3"/>
        <v>327</v>
      </c>
      <c r="AK36" s="55"/>
    </row>
    <row r="37" spans="1:88" ht="15.75" thickBot="1" x14ac:dyDescent="0.3">
      <c r="A37" s="65" t="s">
        <v>45</v>
      </c>
      <c r="B37" s="66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2">
        <v>240</v>
      </c>
      <c r="AH37" s="53">
        <f t="shared" si="2"/>
        <v>0</v>
      </c>
      <c r="AI37" s="54">
        <f t="shared" si="3"/>
        <v>0</v>
      </c>
      <c r="AK37" s="55"/>
    </row>
    <row r="38" spans="1:88" ht="15.75" thickBot="1" x14ac:dyDescent="0.3">
      <c r="A38" s="67" t="s">
        <v>46</v>
      </c>
      <c r="B38" s="68">
        <f>SUM(B11:B36)</f>
        <v>846.3</v>
      </c>
      <c r="C38" s="68">
        <f t="shared" ref="C38:AF38" si="4">SUM(C11:C36)</f>
        <v>849.3</v>
      </c>
      <c r="D38" s="68">
        <f t="shared" si="4"/>
        <v>844.3</v>
      </c>
      <c r="E38" s="68">
        <f t="shared" si="4"/>
        <v>849.3</v>
      </c>
      <c r="F38" s="68">
        <f t="shared" si="4"/>
        <v>849.3</v>
      </c>
      <c r="G38" s="68">
        <f t="shared" si="4"/>
        <v>849.3</v>
      </c>
      <c r="H38" s="68">
        <f t="shared" si="4"/>
        <v>849.3</v>
      </c>
      <c r="I38" s="68">
        <f t="shared" si="4"/>
        <v>849.3</v>
      </c>
      <c r="J38" s="68">
        <f t="shared" si="4"/>
        <v>825.3</v>
      </c>
      <c r="K38" s="68">
        <f t="shared" si="4"/>
        <v>849.3</v>
      </c>
      <c r="L38" s="68">
        <f t="shared" si="4"/>
        <v>849.3</v>
      </c>
      <c r="M38" s="68">
        <f t="shared" si="4"/>
        <v>851.3</v>
      </c>
      <c r="N38" s="68">
        <f t="shared" si="4"/>
        <v>851.3</v>
      </c>
      <c r="O38" s="68">
        <f t="shared" si="4"/>
        <v>841.9</v>
      </c>
      <c r="P38" s="68">
        <f t="shared" si="4"/>
        <v>849.4</v>
      </c>
      <c r="Q38" s="68">
        <f t="shared" si="4"/>
        <v>849.4</v>
      </c>
      <c r="R38" s="68">
        <f t="shared" si="4"/>
        <v>851.39999999999986</v>
      </c>
      <c r="S38" s="68">
        <f t="shared" si="4"/>
        <v>851.39999999999986</v>
      </c>
      <c r="T38" s="68">
        <f t="shared" si="4"/>
        <v>851.39999999999986</v>
      </c>
      <c r="U38" s="68">
        <f t="shared" si="4"/>
        <v>843.4</v>
      </c>
      <c r="V38" s="68">
        <f t="shared" si="4"/>
        <v>821.4</v>
      </c>
      <c r="W38" s="68">
        <f t="shared" si="4"/>
        <v>834</v>
      </c>
      <c r="X38" s="68">
        <f t="shared" si="4"/>
        <v>836</v>
      </c>
      <c r="Y38" s="68">
        <f t="shared" si="4"/>
        <v>834</v>
      </c>
      <c r="Z38" s="68">
        <f t="shared" si="4"/>
        <v>845</v>
      </c>
      <c r="AA38" s="68">
        <f t="shared" si="4"/>
        <v>847.8</v>
      </c>
      <c r="AB38" s="68">
        <f t="shared" si="4"/>
        <v>847.8</v>
      </c>
      <c r="AC38" s="68">
        <f t="shared" si="4"/>
        <v>847.8</v>
      </c>
      <c r="AD38" s="68">
        <f t="shared" si="4"/>
        <v>847.8</v>
      </c>
      <c r="AE38" s="68">
        <f t="shared" si="4"/>
        <v>847.8</v>
      </c>
      <c r="AF38" s="68">
        <f t="shared" si="4"/>
        <v>841.8</v>
      </c>
      <c r="AG38" s="69">
        <f>SUM(AG11:AG36)</f>
        <v>665.78</v>
      </c>
      <c r="AH38" s="53">
        <f t="shared" si="2"/>
        <v>851.39999999999986</v>
      </c>
      <c r="AI38" s="54">
        <f t="shared" si="3"/>
        <v>821.4</v>
      </c>
      <c r="AK38" s="55"/>
    </row>
    <row r="39" spans="1:88" x14ac:dyDescent="0.25">
      <c r="A39" s="70" t="s">
        <v>47</v>
      </c>
      <c r="B39" s="49">
        <v>456</v>
      </c>
      <c r="C39" s="49">
        <v>456</v>
      </c>
      <c r="D39" s="49">
        <v>456</v>
      </c>
      <c r="E39" s="49">
        <v>456</v>
      </c>
      <c r="F39" s="49">
        <v>456</v>
      </c>
      <c r="G39" s="49">
        <v>456</v>
      </c>
      <c r="H39" s="49">
        <v>456</v>
      </c>
      <c r="I39" s="49">
        <v>456</v>
      </c>
      <c r="J39" s="49">
        <v>456</v>
      </c>
      <c r="K39" s="49">
        <v>456</v>
      </c>
      <c r="L39" s="49">
        <v>456</v>
      </c>
      <c r="M39" s="49">
        <v>456</v>
      </c>
      <c r="N39" s="49">
        <v>456</v>
      </c>
      <c r="O39" s="49">
        <v>456</v>
      </c>
      <c r="P39" s="49">
        <v>456</v>
      </c>
      <c r="Q39" s="49">
        <v>456</v>
      </c>
      <c r="R39" s="49">
        <v>456</v>
      </c>
      <c r="S39" s="49">
        <v>456</v>
      </c>
      <c r="T39" s="49">
        <v>456</v>
      </c>
      <c r="U39" s="49">
        <v>456</v>
      </c>
      <c r="V39" s="49">
        <v>456</v>
      </c>
      <c r="W39" s="49">
        <v>456</v>
      </c>
      <c r="X39" s="49">
        <v>456</v>
      </c>
      <c r="Y39" s="49">
        <v>456</v>
      </c>
      <c r="Z39" s="49">
        <v>456</v>
      </c>
      <c r="AA39" s="49">
        <v>456</v>
      </c>
      <c r="AB39" s="49">
        <v>456</v>
      </c>
      <c r="AC39" s="49">
        <v>456</v>
      </c>
      <c r="AD39" s="49">
        <v>456</v>
      </c>
      <c r="AE39" s="49">
        <v>456</v>
      </c>
      <c r="AF39" s="49">
        <v>456</v>
      </c>
      <c r="AG39" s="57">
        <v>456</v>
      </c>
      <c r="AH39" s="53">
        <f t="shared" si="2"/>
        <v>456</v>
      </c>
      <c r="AI39" s="54">
        <f t="shared" si="3"/>
        <v>456</v>
      </c>
      <c r="AK39" s="55"/>
    </row>
    <row r="40" spans="1:88" x14ac:dyDescent="0.25">
      <c r="A40" s="71" t="s">
        <v>48</v>
      </c>
      <c r="B40" s="72">
        <v>60</v>
      </c>
      <c r="C40" s="72">
        <v>60</v>
      </c>
      <c r="D40" s="72">
        <v>60</v>
      </c>
      <c r="E40" s="72">
        <v>60</v>
      </c>
      <c r="F40" s="72">
        <v>60</v>
      </c>
      <c r="G40" s="72">
        <v>60</v>
      </c>
      <c r="H40" s="72">
        <v>60</v>
      </c>
      <c r="I40" s="72">
        <v>60</v>
      </c>
      <c r="J40" s="72">
        <v>60</v>
      </c>
      <c r="K40" s="72">
        <v>60</v>
      </c>
      <c r="L40" s="72">
        <v>60</v>
      </c>
      <c r="M40" s="72">
        <v>60</v>
      </c>
      <c r="N40" s="72">
        <v>60</v>
      </c>
      <c r="O40" s="72">
        <v>60</v>
      </c>
      <c r="P40" s="72">
        <v>60</v>
      </c>
      <c r="Q40" s="72">
        <v>60</v>
      </c>
      <c r="R40" s="72">
        <v>60</v>
      </c>
      <c r="S40" s="72">
        <v>60</v>
      </c>
      <c r="T40" s="72">
        <v>60</v>
      </c>
      <c r="U40" s="72">
        <v>60</v>
      </c>
      <c r="V40" s="72">
        <v>60</v>
      </c>
      <c r="W40" s="72">
        <v>60</v>
      </c>
      <c r="X40" s="72">
        <v>60</v>
      </c>
      <c r="Y40" s="72">
        <v>60</v>
      </c>
      <c r="Z40" s="72">
        <v>60</v>
      </c>
      <c r="AA40" s="72">
        <v>60</v>
      </c>
      <c r="AB40" s="72">
        <v>60</v>
      </c>
      <c r="AC40" s="72">
        <v>60</v>
      </c>
      <c r="AD40" s="72">
        <v>60</v>
      </c>
      <c r="AE40" s="72">
        <v>60</v>
      </c>
      <c r="AF40" s="72">
        <v>60</v>
      </c>
      <c r="AG40" s="62">
        <v>60</v>
      </c>
      <c r="AH40" s="53">
        <f t="shared" si="2"/>
        <v>60</v>
      </c>
      <c r="AI40" s="54">
        <f t="shared" si="3"/>
        <v>60</v>
      </c>
      <c r="AK40" s="55"/>
    </row>
    <row r="41" spans="1:88" ht="15.75" thickBot="1" x14ac:dyDescent="0.3">
      <c r="A41" s="73" t="s">
        <v>49</v>
      </c>
      <c r="B41" s="74">
        <v>22</v>
      </c>
      <c r="C41" s="74">
        <v>22</v>
      </c>
      <c r="D41" s="74">
        <v>22</v>
      </c>
      <c r="E41" s="74">
        <v>22</v>
      </c>
      <c r="F41" s="74">
        <v>22</v>
      </c>
      <c r="G41" s="74">
        <v>22</v>
      </c>
      <c r="H41" s="74">
        <v>22</v>
      </c>
      <c r="I41" s="74">
        <v>22</v>
      </c>
      <c r="J41" s="74">
        <v>22</v>
      </c>
      <c r="K41" s="74">
        <v>22</v>
      </c>
      <c r="L41" s="74">
        <v>22</v>
      </c>
      <c r="M41" s="74">
        <v>22</v>
      </c>
      <c r="N41" s="74">
        <v>22</v>
      </c>
      <c r="O41" s="74">
        <v>22</v>
      </c>
      <c r="P41" s="74">
        <v>22</v>
      </c>
      <c r="Q41" s="74">
        <v>22</v>
      </c>
      <c r="R41" s="74">
        <v>22</v>
      </c>
      <c r="S41" s="74">
        <v>22</v>
      </c>
      <c r="T41" s="74">
        <v>22</v>
      </c>
      <c r="U41" s="74">
        <v>22</v>
      </c>
      <c r="V41" s="74">
        <v>22</v>
      </c>
      <c r="W41" s="74">
        <v>22</v>
      </c>
      <c r="X41" s="74">
        <v>22</v>
      </c>
      <c r="Y41" s="74">
        <v>22</v>
      </c>
      <c r="Z41" s="74">
        <v>22</v>
      </c>
      <c r="AA41" s="74">
        <v>22</v>
      </c>
      <c r="AB41" s="74">
        <v>22</v>
      </c>
      <c r="AC41" s="74">
        <v>22</v>
      </c>
      <c r="AD41" s="74">
        <v>22</v>
      </c>
      <c r="AE41" s="74">
        <v>22</v>
      </c>
      <c r="AF41" s="74">
        <v>22</v>
      </c>
      <c r="AG41" s="75">
        <v>22.1</v>
      </c>
      <c r="AH41" s="53">
        <f t="shared" si="2"/>
        <v>22</v>
      </c>
      <c r="AI41" s="54">
        <f t="shared" si="3"/>
        <v>22</v>
      </c>
      <c r="AK41" s="55"/>
    </row>
    <row r="42" spans="1:88" ht="15.75" thickBot="1" x14ac:dyDescent="0.3">
      <c r="A42" s="76" t="s">
        <v>50</v>
      </c>
      <c r="B42" s="68">
        <f>SUM(B39:B41)</f>
        <v>538</v>
      </c>
      <c r="C42" s="68">
        <f t="shared" ref="C42:AG42" si="5">SUM(C39:C41)</f>
        <v>538</v>
      </c>
      <c r="D42" s="68">
        <f t="shared" si="5"/>
        <v>538</v>
      </c>
      <c r="E42" s="68">
        <f t="shared" si="5"/>
        <v>538</v>
      </c>
      <c r="F42" s="68">
        <f t="shared" si="5"/>
        <v>538</v>
      </c>
      <c r="G42" s="68">
        <f t="shared" si="5"/>
        <v>538</v>
      </c>
      <c r="H42" s="68">
        <f t="shared" si="5"/>
        <v>538</v>
      </c>
      <c r="I42" s="68">
        <f t="shared" si="5"/>
        <v>538</v>
      </c>
      <c r="J42" s="68">
        <f t="shared" si="5"/>
        <v>538</v>
      </c>
      <c r="K42" s="68">
        <f t="shared" si="5"/>
        <v>538</v>
      </c>
      <c r="L42" s="68">
        <f t="shared" si="5"/>
        <v>538</v>
      </c>
      <c r="M42" s="68">
        <f t="shared" si="5"/>
        <v>538</v>
      </c>
      <c r="N42" s="68">
        <f t="shared" si="5"/>
        <v>538</v>
      </c>
      <c r="O42" s="68">
        <f t="shared" si="5"/>
        <v>538</v>
      </c>
      <c r="P42" s="68">
        <f t="shared" si="5"/>
        <v>538</v>
      </c>
      <c r="Q42" s="68">
        <f t="shared" si="5"/>
        <v>538</v>
      </c>
      <c r="R42" s="68">
        <f t="shared" si="5"/>
        <v>538</v>
      </c>
      <c r="S42" s="68">
        <f t="shared" si="5"/>
        <v>538</v>
      </c>
      <c r="T42" s="68">
        <f t="shared" si="5"/>
        <v>538</v>
      </c>
      <c r="U42" s="68">
        <f t="shared" si="5"/>
        <v>538</v>
      </c>
      <c r="V42" s="68">
        <f t="shared" si="5"/>
        <v>538</v>
      </c>
      <c r="W42" s="68">
        <f t="shared" si="5"/>
        <v>538</v>
      </c>
      <c r="X42" s="68">
        <f t="shared" si="5"/>
        <v>538</v>
      </c>
      <c r="Y42" s="68">
        <f t="shared" si="5"/>
        <v>538</v>
      </c>
      <c r="Z42" s="68">
        <f t="shared" si="5"/>
        <v>538</v>
      </c>
      <c r="AA42" s="68">
        <f t="shared" si="5"/>
        <v>538</v>
      </c>
      <c r="AB42" s="68">
        <f t="shared" si="5"/>
        <v>538</v>
      </c>
      <c r="AC42" s="68">
        <f t="shared" si="5"/>
        <v>538</v>
      </c>
      <c r="AD42" s="68">
        <f t="shared" si="5"/>
        <v>538</v>
      </c>
      <c r="AE42" s="68">
        <f t="shared" si="5"/>
        <v>538</v>
      </c>
      <c r="AF42" s="68">
        <f t="shared" si="5"/>
        <v>538</v>
      </c>
      <c r="AG42" s="69">
        <f t="shared" si="5"/>
        <v>538.1</v>
      </c>
      <c r="AH42" s="53">
        <f t="shared" si="2"/>
        <v>538</v>
      </c>
      <c r="AI42" s="54">
        <f t="shared" si="3"/>
        <v>538</v>
      </c>
      <c r="AK42" s="55"/>
    </row>
    <row r="43" spans="1:88" x14ac:dyDescent="0.25">
      <c r="A43" s="48" t="s">
        <v>51</v>
      </c>
      <c r="B43" s="49">
        <v>143.1</v>
      </c>
      <c r="C43" s="49">
        <v>143.1</v>
      </c>
      <c r="D43" s="49">
        <v>143.19999999999999</v>
      </c>
      <c r="E43" s="49">
        <v>143.30000000000001</v>
      </c>
      <c r="F43" s="49">
        <v>143.1</v>
      </c>
      <c r="G43" s="49">
        <v>143.19999999999999</v>
      </c>
      <c r="H43" s="49">
        <v>143.19999999999999</v>
      </c>
      <c r="I43" s="49">
        <v>143.19999999999999</v>
      </c>
      <c r="J43" s="49">
        <v>142.9</v>
      </c>
      <c r="K43" s="49">
        <v>142.69999999999999</v>
      </c>
      <c r="L43" s="49">
        <v>142.69999999999999</v>
      </c>
      <c r="M43" s="49">
        <v>142.69999999999999</v>
      </c>
      <c r="N43" s="49">
        <v>142.69999999999999</v>
      </c>
      <c r="O43" s="49">
        <v>142.69999999999999</v>
      </c>
      <c r="P43" s="49">
        <v>142.69999999999999</v>
      </c>
      <c r="Q43" s="49">
        <v>142.69999999999999</v>
      </c>
      <c r="R43" s="49">
        <v>142.69999999999999</v>
      </c>
      <c r="S43" s="49">
        <v>142.69999999999999</v>
      </c>
      <c r="T43" s="49">
        <v>142.69999999999999</v>
      </c>
      <c r="U43" s="49">
        <v>142.69999999999999</v>
      </c>
      <c r="V43" s="49">
        <v>142.69999999999999</v>
      </c>
      <c r="W43" s="49">
        <v>142.69999999999999</v>
      </c>
      <c r="X43" s="49">
        <v>142.69999999999999</v>
      </c>
      <c r="Y43" s="49">
        <v>142.69999999999999</v>
      </c>
      <c r="Z43" s="49">
        <v>142.69999999999999</v>
      </c>
      <c r="AA43" s="49">
        <v>143.4</v>
      </c>
      <c r="AB43" s="49">
        <v>143.4</v>
      </c>
      <c r="AC43" s="49">
        <v>143.4</v>
      </c>
      <c r="AD43" s="49">
        <v>143.4</v>
      </c>
      <c r="AE43" s="49">
        <v>143.4</v>
      </c>
      <c r="AF43" s="49">
        <v>143.4</v>
      </c>
      <c r="AG43" s="57">
        <v>144</v>
      </c>
      <c r="AH43" s="53">
        <f t="shared" si="2"/>
        <v>143.4</v>
      </c>
      <c r="AI43" s="54">
        <f t="shared" si="3"/>
        <v>142.69999999999999</v>
      </c>
      <c r="AK43" s="55"/>
    </row>
    <row r="44" spans="1:88" x14ac:dyDescent="0.25">
      <c r="A44" s="61" t="s">
        <v>52</v>
      </c>
      <c r="B44" s="72">
        <v>70.8</v>
      </c>
      <c r="C44" s="72">
        <v>70.8</v>
      </c>
      <c r="D44" s="72">
        <v>70.8</v>
      </c>
      <c r="E44" s="72">
        <v>70.8</v>
      </c>
      <c r="F44" s="72">
        <v>70.7</v>
      </c>
      <c r="G44" s="72">
        <v>70.5</v>
      </c>
      <c r="H44" s="72">
        <v>70.5</v>
      </c>
      <c r="I44" s="72">
        <v>70.5</v>
      </c>
      <c r="J44" s="72">
        <v>70.5</v>
      </c>
      <c r="K44" s="72">
        <v>70.900000000000006</v>
      </c>
      <c r="L44" s="72">
        <v>70.900000000000006</v>
      </c>
      <c r="M44" s="72">
        <v>70.900000000000006</v>
      </c>
      <c r="N44" s="72">
        <v>70.900000000000006</v>
      </c>
      <c r="O44" s="72">
        <v>70.900000000000006</v>
      </c>
      <c r="P44" s="72">
        <v>70.900000000000006</v>
      </c>
      <c r="Q44" s="72">
        <v>70.900000000000006</v>
      </c>
      <c r="R44" s="72">
        <v>70.900000000000006</v>
      </c>
      <c r="S44" s="72">
        <v>70.900000000000006</v>
      </c>
      <c r="T44" s="72">
        <v>70.900000000000006</v>
      </c>
      <c r="U44" s="72">
        <v>70.900000000000006</v>
      </c>
      <c r="V44" s="72">
        <v>72</v>
      </c>
      <c r="W44" s="72">
        <v>72</v>
      </c>
      <c r="X44" s="72">
        <v>72</v>
      </c>
      <c r="Y44" s="72">
        <v>72</v>
      </c>
      <c r="Z44" s="72">
        <v>72</v>
      </c>
      <c r="AA44" s="72">
        <v>72.900000000000006</v>
      </c>
      <c r="AB44" s="72">
        <v>72.900000000000006</v>
      </c>
      <c r="AC44" s="72">
        <v>72.900000000000006</v>
      </c>
      <c r="AD44" s="72">
        <v>72.900000000000006</v>
      </c>
      <c r="AE44" s="72">
        <v>72.900000000000006</v>
      </c>
      <c r="AF44" s="72">
        <v>72.900000000000006</v>
      </c>
      <c r="AG44" s="62">
        <v>70</v>
      </c>
      <c r="AH44" s="53">
        <f t="shared" si="2"/>
        <v>72.900000000000006</v>
      </c>
      <c r="AI44" s="54">
        <f t="shared" si="3"/>
        <v>70.5</v>
      </c>
      <c r="AK44" s="55"/>
    </row>
    <row r="45" spans="1:88" x14ac:dyDescent="0.25">
      <c r="A45" s="61" t="s">
        <v>53</v>
      </c>
      <c r="B45" s="72">
        <v>64.3</v>
      </c>
      <c r="C45" s="72">
        <v>64.400000000000006</v>
      </c>
      <c r="D45" s="72">
        <v>64</v>
      </c>
      <c r="E45" s="72">
        <v>63.9</v>
      </c>
      <c r="F45" s="72">
        <v>64.099999999999994</v>
      </c>
      <c r="G45" s="72">
        <v>63.8</v>
      </c>
      <c r="H45" s="72">
        <v>63.8</v>
      </c>
      <c r="I45" s="72">
        <v>63.8</v>
      </c>
      <c r="J45" s="72">
        <v>63.8</v>
      </c>
      <c r="K45" s="72">
        <v>63.8</v>
      </c>
      <c r="L45" s="72">
        <v>63.8</v>
      </c>
      <c r="M45" s="72">
        <v>63.8</v>
      </c>
      <c r="N45" s="72">
        <v>63.8</v>
      </c>
      <c r="O45" s="72">
        <v>63.8</v>
      </c>
      <c r="P45" s="72">
        <v>63.8</v>
      </c>
      <c r="Q45" s="72">
        <v>63.8</v>
      </c>
      <c r="R45" s="72">
        <v>63.8</v>
      </c>
      <c r="S45" s="72">
        <v>63.8</v>
      </c>
      <c r="T45" s="72">
        <v>63.8</v>
      </c>
      <c r="U45" s="72">
        <v>63.8</v>
      </c>
      <c r="V45" s="72">
        <v>64.3</v>
      </c>
      <c r="W45" s="72">
        <v>64.3</v>
      </c>
      <c r="X45" s="72">
        <v>64.3</v>
      </c>
      <c r="Y45" s="72">
        <v>64.3</v>
      </c>
      <c r="Z45" s="72">
        <v>64.3</v>
      </c>
      <c r="AA45" s="72">
        <v>64.5</v>
      </c>
      <c r="AB45" s="72">
        <v>64.5</v>
      </c>
      <c r="AC45" s="72">
        <v>64.5</v>
      </c>
      <c r="AD45" s="72">
        <v>64.5</v>
      </c>
      <c r="AE45" s="72">
        <v>64.5</v>
      </c>
      <c r="AF45" s="72">
        <v>64.5</v>
      </c>
      <c r="AG45" s="62">
        <v>69</v>
      </c>
      <c r="AH45" s="53">
        <f t="shared" si="2"/>
        <v>64.5</v>
      </c>
      <c r="AI45" s="54">
        <f t="shared" si="3"/>
        <v>63.8</v>
      </c>
      <c r="AK45" s="55"/>
    </row>
    <row r="46" spans="1:88" x14ac:dyDescent="0.25">
      <c r="A46" s="61" t="s">
        <v>54</v>
      </c>
      <c r="B46" s="64">
        <v>60.2</v>
      </c>
      <c r="C46" s="64">
        <v>60.4</v>
      </c>
      <c r="D46" s="64">
        <v>60.2</v>
      </c>
      <c r="E46" s="64">
        <v>60.2</v>
      </c>
      <c r="F46" s="64">
        <v>60.2</v>
      </c>
      <c r="G46" s="64">
        <v>60.2</v>
      </c>
      <c r="H46" s="64">
        <v>60.2</v>
      </c>
      <c r="I46" s="64">
        <v>60.2</v>
      </c>
      <c r="J46" s="64">
        <v>60.2</v>
      </c>
      <c r="K46" s="64">
        <v>60.2</v>
      </c>
      <c r="L46" s="64">
        <v>60.2</v>
      </c>
      <c r="M46" s="64">
        <v>60.2</v>
      </c>
      <c r="N46" s="64">
        <v>60.2</v>
      </c>
      <c r="O46" s="64">
        <v>60.2</v>
      </c>
      <c r="P46" s="64">
        <v>60.2</v>
      </c>
      <c r="Q46" s="64">
        <v>60.2</v>
      </c>
      <c r="R46" s="64">
        <v>60.2</v>
      </c>
      <c r="S46" s="64">
        <v>60.2</v>
      </c>
      <c r="T46" s="64">
        <v>60.2</v>
      </c>
      <c r="U46" s="64">
        <v>60.2</v>
      </c>
      <c r="V46" s="64">
        <v>60</v>
      </c>
      <c r="W46" s="64">
        <v>60</v>
      </c>
      <c r="X46" s="64">
        <v>60</v>
      </c>
      <c r="Y46" s="64">
        <v>60</v>
      </c>
      <c r="Z46" s="64">
        <v>60</v>
      </c>
      <c r="AA46" s="72">
        <v>60</v>
      </c>
      <c r="AB46" s="72">
        <v>60</v>
      </c>
      <c r="AC46" s="72">
        <v>60</v>
      </c>
      <c r="AD46" s="72">
        <v>60</v>
      </c>
      <c r="AE46" s="72">
        <v>60</v>
      </c>
      <c r="AF46" s="72">
        <v>60</v>
      </c>
      <c r="AG46" s="62">
        <v>60</v>
      </c>
      <c r="AH46" s="53">
        <f t="shared" si="2"/>
        <v>60.4</v>
      </c>
      <c r="AI46" s="54">
        <f t="shared" si="3"/>
        <v>60</v>
      </c>
      <c r="AK46" s="55"/>
    </row>
    <row r="47" spans="1:88" x14ac:dyDescent="0.25">
      <c r="A47" s="61" t="s">
        <v>55</v>
      </c>
      <c r="B47" s="64">
        <v>28.9</v>
      </c>
      <c r="C47" s="64">
        <v>28.6</v>
      </c>
      <c r="D47" s="64">
        <v>28.8</v>
      </c>
      <c r="E47" s="64">
        <v>28.8</v>
      </c>
      <c r="F47" s="64">
        <v>28.7</v>
      </c>
      <c r="G47" s="64">
        <v>28.7</v>
      </c>
      <c r="H47" s="64">
        <v>28.7</v>
      </c>
      <c r="I47" s="64">
        <v>28.7</v>
      </c>
      <c r="J47" s="64">
        <v>28.7</v>
      </c>
      <c r="K47" s="64">
        <v>15</v>
      </c>
      <c r="L47" s="64">
        <v>15</v>
      </c>
      <c r="M47" s="64">
        <v>30</v>
      </c>
      <c r="N47" s="64">
        <v>30</v>
      </c>
      <c r="O47" s="64">
        <v>30</v>
      </c>
      <c r="P47" s="64">
        <v>30</v>
      </c>
      <c r="Q47" s="64">
        <v>30</v>
      </c>
      <c r="R47" s="64">
        <v>28.3</v>
      </c>
      <c r="S47" s="64">
        <v>28.3</v>
      </c>
      <c r="T47" s="64">
        <v>28.3</v>
      </c>
      <c r="U47" s="64">
        <v>28.3</v>
      </c>
      <c r="V47" s="64">
        <v>28.2</v>
      </c>
      <c r="W47" s="64">
        <v>28.2</v>
      </c>
      <c r="X47" s="64">
        <v>28.2</v>
      </c>
      <c r="Y47" s="64">
        <v>28.2</v>
      </c>
      <c r="Z47" s="64">
        <v>28.2</v>
      </c>
      <c r="AA47" s="72">
        <v>28.2</v>
      </c>
      <c r="AB47" s="72">
        <v>28.2</v>
      </c>
      <c r="AC47" s="72">
        <v>28.2</v>
      </c>
      <c r="AD47" s="72">
        <v>28.2</v>
      </c>
      <c r="AE47" s="72">
        <v>28.2</v>
      </c>
      <c r="AF47" s="72">
        <v>28.2</v>
      </c>
      <c r="AG47" s="62">
        <v>30</v>
      </c>
      <c r="AH47" s="53">
        <f t="shared" si="2"/>
        <v>30</v>
      </c>
      <c r="AI47" s="54">
        <f t="shared" si="3"/>
        <v>15</v>
      </c>
      <c r="AK47" s="55"/>
    </row>
    <row r="48" spans="1:88" x14ac:dyDescent="0.25">
      <c r="A48" s="61" t="s">
        <v>56</v>
      </c>
      <c r="B48" s="72">
        <v>0</v>
      </c>
      <c r="C48" s="72">
        <v>0</v>
      </c>
      <c r="D48" s="72">
        <v>0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8</v>
      </c>
      <c r="N48" s="72">
        <v>8</v>
      </c>
      <c r="O48" s="72">
        <v>8</v>
      </c>
      <c r="P48" s="72">
        <v>8</v>
      </c>
      <c r="Q48" s="72">
        <v>8</v>
      </c>
      <c r="R48" s="72">
        <v>8</v>
      </c>
      <c r="S48" s="72">
        <v>8</v>
      </c>
      <c r="T48" s="72">
        <v>8</v>
      </c>
      <c r="U48" s="72">
        <v>8</v>
      </c>
      <c r="V48" s="72">
        <v>8</v>
      </c>
      <c r="W48" s="72">
        <v>8</v>
      </c>
      <c r="X48" s="72">
        <v>8</v>
      </c>
      <c r="Y48" s="72">
        <v>0</v>
      </c>
      <c r="Z48" s="72">
        <v>0</v>
      </c>
      <c r="AA48" s="49">
        <v>0</v>
      </c>
      <c r="AB48" s="49">
        <v>0</v>
      </c>
      <c r="AC48" s="49">
        <v>0</v>
      </c>
      <c r="AD48" s="49">
        <v>0</v>
      </c>
      <c r="AE48" s="49">
        <v>0</v>
      </c>
      <c r="AF48" s="49">
        <v>0</v>
      </c>
      <c r="AG48" s="62">
        <v>25</v>
      </c>
      <c r="AH48" s="53">
        <f t="shared" si="2"/>
        <v>8</v>
      </c>
      <c r="AI48" s="54">
        <f t="shared" si="3"/>
        <v>0</v>
      </c>
      <c r="AK48" s="55"/>
    </row>
    <row r="49" spans="1:41" x14ac:dyDescent="0.25">
      <c r="A49" s="61" t="s">
        <v>57</v>
      </c>
      <c r="B49" s="72">
        <v>14.9</v>
      </c>
      <c r="C49" s="72">
        <v>14.9</v>
      </c>
      <c r="D49" s="72">
        <v>14.9</v>
      </c>
      <c r="E49" s="72">
        <v>14.9</v>
      </c>
      <c r="F49" s="72">
        <v>14.9</v>
      </c>
      <c r="G49" s="72">
        <v>14.9</v>
      </c>
      <c r="H49" s="72">
        <v>14.9</v>
      </c>
      <c r="I49" s="72">
        <v>14.9</v>
      </c>
      <c r="J49" s="72">
        <v>14.9</v>
      </c>
      <c r="K49" s="72">
        <v>14.9</v>
      </c>
      <c r="L49" s="72">
        <v>14.9</v>
      </c>
      <c r="M49" s="72">
        <v>14.9</v>
      </c>
      <c r="N49" s="72">
        <v>14.9</v>
      </c>
      <c r="O49" s="72">
        <v>14.9</v>
      </c>
      <c r="P49" s="72">
        <v>14.9</v>
      </c>
      <c r="Q49" s="72">
        <v>14.9</v>
      </c>
      <c r="R49" s="72">
        <v>14.9</v>
      </c>
      <c r="S49" s="72">
        <v>14.9</v>
      </c>
      <c r="T49" s="72">
        <v>14.9</v>
      </c>
      <c r="U49" s="72">
        <v>14.9</v>
      </c>
      <c r="V49" s="72">
        <v>14.9</v>
      </c>
      <c r="W49" s="72">
        <v>14.9</v>
      </c>
      <c r="X49" s="72">
        <v>14.9</v>
      </c>
      <c r="Y49" s="72">
        <v>14.9</v>
      </c>
      <c r="Z49" s="72">
        <v>14.9</v>
      </c>
      <c r="AA49" s="49">
        <v>14.7</v>
      </c>
      <c r="AB49" s="49">
        <v>14.7</v>
      </c>
      <c r="AC49" s="49">
        <v>14.7</v>
      </c>
      <c r="AD49" s="49">
        <v>14.7</v>
      </c>
      <c r="AE49" s="49">
        <v>14.7</v>
      </c>
      <c r="AF49" s="49">
        <v>14.7</v>
      </c>
      <c r="AG49" s="62">
        <v>24</v>
      </c>
      <c r="AH49" s="53">
        <f t="shared" si="2"/>
        <v>14.9</v>
      </c>
      <c r="AI49" s="54">
        <f t="shared" si="3"/>
        <v>14.7</v>
      </c>
      <c r="AK49" s="55"/>
    </row>
    <row r="50" spans="1:41" x14ac:dyDescent="0.25">
      <c r="A50" s="61" t="s">
        <v>58</v>
      </c>
      <c r="B50" s="72">
        <v>3</v>
      </c>
      <c r="C50" s="72">
        <v>3</v>
      </c>
      <c r="D50" s="72">
        <v>3</v>
      </c>
      <c r="E50" s="72">
        <v>3</v>
      </c>
      <c r="F50" s="72">
        <v>3</v>
      </c>
      <c r="G50" s="72">
        <v>3</v>
      </c>
      <c r="H50" s="72">
        <v>3</v>
      </c>
      <c r="I50" s="72">
        <v>3</v>
      </c>
      <c r="J50" s="72">
        <v>3</v>
      </c>
      <c r="K50" s="72">
        <v>3</v>
      </c>
      <c r="L50" s="72">
        <v>3</v>
      </c>
      <c r="M50" s="72">
        <v>3</v>
      </c>
      <c r="N50" s="72">
        <v>3</v>
      </c>
      <c r="O50" s="72">
        <v>3</v>
      </c>
      <c r="P50" s="72">
        <v>3</v>
      </c>
      <c r="Q50" s="72">
        <v>3</v>
      </c>
      <c r="R50" s="72">
        <v>3</v>
      </c>
      <c r="S50" s="72">
        <v>3</v>
      </c>
      <c r="T50" s="72">
        <v>3</v>
      </c>
      <c r="U50" s="72">
        <v>3</v>
      </c>
      <c r="V50" s="72">
        <v>3</v>
      </c>
      <c r="W50" s="72">
        <v>3</v>
      </c>
      <c r="X50" s="72">
        <v>3</v>
      </c>
      <c r="Y50" s="72">
        <v>3</v>
      </c>
      <c r="Z50" s="72">
        <v>3</v>
      </c>
      <c r="AA50" s="49">
        <v>3</v>
      </c>
      <c r="AB50" s="49">
        <v>3</v>
      </c>
      <c r="AC50" s="49">
        <v>3</v>
      </c>
      <c r="AD50" s="49">
        <v>3</v>
      </c>
      <c r="AE50" s="49">
        <v>3</v>
      </c>
      <c r="AF50" s="49">
        <v>3</v>
      </c>
      <c r="AG50" s="62">
        <v>15</v>
      </c>
      <c r="AH50" s="53">
        <f t="shared" si="2"/>
        <v>3</v>
      </c>
      <c r="AI50" s="54">
        <f t="shared" si="3"/>
        <v>3</v>
      </c>
      <c r="AK50" s="55"/>
      <c r="AL50" s="77"/>
      <c r="AO50" s="77"/>
    </row>
    <row r="51" spans="1:41" s="77" customFormat="1" x14ac:dyDescent="0.25">
      <c r="A51" s="61" t="s">
        <v>59</v>
      </c>
      <c r="B51" s="72">
        <v>10.3</v>
      </c>
      <c r="C51" s="72">
        <v>10.3</v>
      </c>
      <c r="D51" s="72">
        <v>10.3</v>
      </c>
      <c r="E51" s="72">
        <v>10.3</v>
      </c>
      <c r="F51" s="72">
        <v>10.3</v>
      </c>
      <c r="G51" s="72">
        <v>10.3</v>
      </c>
      <c r="H51" s="72">
        <v>10.3</v>
      </c>
      <c r="I51" s="72">
        <v>10.3</v>
      </c>
      <c r="J51" s="72">
        <v>10.3</v>
      </c>
      <c r="K51" s="72">
        <v>10.3</v>
      </c>
      <c r="L51" s="72">
        <v>10.3</v>
      </c>
      <c r="M51" s="72">
        <v>10.3</v>
      </c>
      <c r="N51" s="72">
        <v>10.3</v>
      </c>
      <c r="O51" s="72">
        <v>10.3</v>
      </c>
      <c r="P51" s="72">
        <v>10.3</v>
      </c>
      <c r="Q51" s="72">
        <v>10.3</v>
      </c>
      <c r="R51" s="72">
        <v>10.3</v>
      </c>
      <c r="S51" s="72">
        <v>10.3</v>
      </c>
      <c r="T51" s="72">
        <v>10.3</v>
      </c>
      <c r="U51" s="72">
        <v>10.3</v>
      </c>
      <c r="V51" s="72">
        <v>10.3</v>
      </c>
      <c r="W51" s="72">
        <v>10.3</v>
      </c>
      <c r="X51" s="72">
        <v>10.3</v>
      </c>
      <c r="Y51" s="72">
        <v>10.3</v>
      </c>
      <c r="Z51" s="72">
        <v>10.3</v>
      </c>
      <c r="AA51" s="49">
        <v>10.3</v>
      </c>
      <c r="AB51" s="49">
        <v>10.3</v>
      </c>
      <c r="AC51" s="49">
        <v>10.3</v>
      </c>
      <c r="AD51" s="49">
        <v>10.3</v>
      </c>
      <c r="AE51" s="49">
        <v>10.3</v>
      </c>
      <c r="AF51" s="49">
        <v>10.3</v>
      </c>
      <c r="AG51" s="62">
        <v>14.1</v>
      </c>
      <c r="AH51" s="53">
        <f t="shared" si="2"/>
        <v>10.3</v>
      </c>
      <c r="AI51" s="54">
        <f t="shared" si="3"/>
        <v>10.3</v>
      </c>
      <c r="AJ51" s="1"/>
      <c r="AK51" s="55"/>
      <c r="AL51"/>
      <c r="AM51"/>
      <c r="AN51"/>
      <c r="AO51"/>
    </row>
    <row r="52" spans="1:41" x14ac:dyDescent="0.25">
      <c r="A52" s="78" t="s">
        <v>60</v>
      </c>
      <c r="B52" s="72">
        <v>7</v>
      </c>
      <c r="C52" s="72">
        <v>7</v>
      </c>
      <c r="D52" s="72">
        <v>7</v>
      </c>
      <c r="E52" s="72">
        <v>14.1</v>
      </c>
      <c r="F52" s="72">
        <v>14.1</v>
      </c>
      <c r="G52" s="72">
        <v>14.1</v>
      </c>
      <c r="H52" s="72">
        <v>14.1</v>
      </c>
      <c r="I52" s="72">
        <v>14.1</v>
      </c>
      <c r="J52" s="72">
        <v>14.1</v>
      </c>
      <c r="K52" s="72">
        <v>14.1</v>
      </c>
      <c r="L52" s="72">
        <v>14.1</v>
      </c>
      <c r="M52" s="72">
        <v>14.1</v>
      </c>
      <c r="N52" s="72">
        <v>14.1</v>
      </c>
      <c r="O52" s="72">
        <v>14.1</v>
      </c>
      <c r="P52" s="72">
        <v>14.1</v>
      </c>
      <c r="Q52" s="72">
        <v>14.1</v>
      </c>
      <c r="R52" s="72">
        <v>14.1</v>
      </c>
      <c r="S52" s="72">
        <v>14.1</v>
      </c>
      <c r="T52" s="72">
        <v>14.1</v>
      </c>
      <c r="U52" s="72">
        <v>14.1</v>
      </c>
      <c r="V52" s="72">
        <v>14.1</v>
      </c>
      <c r="W52" s="72">
        <v>14.1</v>
      </c>
      <c r="X52" s="72">
        <v>14.1</v>
      </c>
      <c r="Y52" s="72">
        <v>14.1</v>
      </c>
      <c r="Z52" s="72">
        <v>14.1</v>
      </c>
      <c r="AA52" s="49">
        <v>14.1</v>
      </c>
      <c r="AB52" s="49">
        <v>14.1</v>
      </c>
      <c r="AC52" s="49">
        <v>14.1</v>
      </c>
      <c r="AD52" s="49">
        <v>14.1</v>
      </c>
      <c r="AE52" s="49">
        <v>14.1</v>
      </c>
      <c r="AF52" s="49">
        <v>14.1</v>
      </c>
      <c r="AG52" s="62">
        <v>14</v>
      </c>
      <c r="AH52" s="53">
        <f t="shared" si="2"/>
        <v>14.1</v>
      </c>
      <c r="AI52" s="54">
        <f t="shared" si="3"/>
        <v>7</v>
      </c>
      <c r="AK52" s="55"/>
    </row>
    <row r="53" spans="1:41" x14ac:dyDescent="0.25">
      <c r="A53" s="61" t="s">
        <v>61</v>
      </c>
      <c r="B53" s="72">
        <v>6</v>
      </c>
      <c r="C53" s="72">
        <v>6</v>
      </c>
      <c r="D53" s="72">
        <v>6</v>
      </c>
      <c r="E53" s="72">
        <v>6</v>
      </c>
      <c r="F53" s="72">
        <v>6</v>
      </c>
      <c r="G53" s="72">
        <v>6</v>
      </c>
      <c r="H53" s="72">
        <v>6</v>
      </c>
      <c r="I53" s="72">
        <v>6</v>
      </c>
      <c r="J53" s="72">
        <v>6</v>
      </c>
      <c r="K53" s="72">
        <v>6</v>
      </c>
      <c r="L53" s="72">
        <v>6</v>
      </c>
      <c r="M53" s="72">
        <v>6</v>
      </c>
      <c r="N53" s="72">
        <v>6</v>
      </c>
      <c r="O53" s="72">
        <v>6</v>
      </c>
      <c r="P53" s="72">
        <v>6</v>
      </c>
      <c r="Q53" s="72">
        <v>6</v>
      </c>
      <c r="R53" s="72">
        <v>6</v>
      </c>
      <c r="S53" s="72">
        <v>6</v>
      </c>
      <c r="T53" s="72">
        <v>6</v>
      </c>
      <c r="U53" s="72">
        <v>6</v>
      </c>
      <c r="V53" s="72">
        <v>6</v>
      </c>
      <c r="W53" s="72">
        <v>6</v>
      </c>
      <c r="X53" s="72">
        <v>6</v>
      </c>
      <c r="Y53" s="72">
        <v>6</v>
      </c>
      <c r="Z53" s="72">
        <v>6</v>
      </c>
      <c r="AA53" s="49">
        <v>6</v>
      </c>
      <c r="AB53" s="49">
        <v>6</v>
      </c>
      <c r="AC53" s="49">
        <v>6</v>
      </c>
      <c r="AD53" s="49">
        <v>6</v>
      </c>
      <c r="AE53" s="49">
        <v>6</v>
      </c>
      <c r="AF53" s="49">
        <v>6</v>
      </c>
      <c r="AG53" s="62">
        <v>10.050000000000001</v>
      </c>
      <c r="AH53" s="53">
        <f t="shared" si="2"/>
        <v>6</v>
      </c>
      <c r="AI53" s="54">
        <f t="shared" si="3"/>
        <v>6</v>
      </c>
      <c r="AK53" s="55"/>
    </row>
    <row r="54" spans="1:41" x14ac:dyDescent="0.25">
      <c r="A54" s="61" t="s">
        <v>62</v>
      </c>
      <c r="B54" s="72">
        <v>6.2</v>
      </c>
      <c r="C54" s="72">
        <v>6.2</v>
      </c>
      <c r="D54" s="72">
        <v>6.2</v>
      </c>
      <c r="E54" s="72">
        <v>6.2</v>
      </c>
      <c r="F54" s="72">
        <v>6.2</v>
      </c>
      <c r="G54" s="72">
        <v>6.2</v>
      </c>
      <c r="H54" s="72">
        <v>6.2</v>
      </c>
      <c r="I54" s="72">
        <v>6.2</v>
      </c>
      <c r="J54" s="72">
        <v>6.2</v>
      </c>
      <c r="K54" s="72">
        <v>6.2</v>
      </c>
      <c r="L54" s="72">
        <v>6.2</v>
      </c>
      <c r="M54" s="72">
        <v>6.2</v>
      </c>
      <c r="N54" s="72">
        <v>6.2</v>
      </c>
      <c r="O54" s="72">
        <v>6.2</v>
      </c>
      <c r="P54" s="72">
        <v>6.2</v>
      </c>
      <c r="Q54" s="72">
        <v>6.2</v>
      </c>
      <c r="R54" s="72">
        <v>6.2</v>
      </c>
      <c r="S54" s="72">
        <v>6.2</v>
      </c>
      <c r="T54" s="72">
        <v>6.2</v>
      </c>
      <c r="U54" s="72">
        <v>6.2</v>
      </c>
      <c r="V54" s="72">
        <v>6.2</v>
      </c>
      <c r="W54" s="72">
        <v>6.2</v>
      </c>
      <c r="X54" s="72">
        <v>6.2</v>
      </c>
      <c r="Y54" s="72">
        <v>6.2</v>
      </c>
      <c r="Z54" s="72">
        <v>6.2</v>
      </c>
      <c r="AA54" s="49">
        <v>6.2</v>
      </c>
      <c r="AB54" s="49">
        <v>6.2</v>
      </c>
      <c r="AC54" s="49">
        <v>6.2</v>
      </c>
      <c r="AD54" s="49">
        <v>6.2</v>
      </c>
      <c r="AE54" s="49">
        <v>6.2</v>
      </c>
      <c r="AF54" s="49">
        <v>6.2</v>
      </c>
      <c r="AG54" s="62">
        <v>6.2</v>
      </c>
      <c r="AH54" s="53">
        <f t="shared" si="2"/>
        <v>6.2</v>
      </c>
      <c r="AI54" s="54">
        <f t="shared" si="3"/>
        <v>6.2</v>
      </c>
      <c r="AK54" s="55"/>
    </row>
    <row r="55" spans="1:41" ht="15.75" thickBot="1" x14ac:dyDescent="0.3">
      <c r="A55" s="63" t="s">
        <v>63</v>
      </c>
      <c r="B55" s="79">
        <v>3.54</v>
      </c>
      <c r="C55" s="79">
        <v>3.54</v>
      </c>
      <c r="D55" s="79">
        <v>3.54</v>
      </c>
      <c r="E55" s="79">
        <v>3.54</v>
      </c>
      <c r="F55" s="79">
        <v>3.54</v>
      </c>
      <c r="G55" s="79">
        <v>3.54</v>
      </c>
      <c r="H55" s="79">
        <v>3.54</v>
      </c>
      <c r="I55" s="79">
        <v>3.54</v>
      </c>
      <c r="J55" s="79">
        <v>3.54</v>
      </c>
      <c r="K55" s="79">
        <v>3.54</v>
      </c>
      <c r="L55" s="79">
        <v>3.54</v>
      </c>
      <c r="M55" s="79">
        <v>3.54</v>
      </c>
      <c r="N55" s="79">
        <v>3.54</v>
      </c>
      <c r="O55" s="79">
        <v>3.54</v>
      </c>
      <c r="P55" s="79">
        <v>3.54</v>
      </c>
      <c r="Q55" s="79">
        <v>3.54</v>
      </c>
      <c r="R55" s="79">
        <v>3.54</v>
      </c>
      <c r="S55" s="79">
        <v>3.54</v>
      </c>
      <c r="T55" s="79">
        <v>3.54</v>
      </c>
      <c r="U55" s="79">
        <v>3.54</v>
      </c>
      <c r="V55" s="79">
        <v>3.54</v>
      </c>
      <c r="W55" s="79">
        <v>3.54</v>
      </c>
      <c r="X55" s="79">
        <v>3.54</v>
      </c>
      <c r="Y55" s="79">
        <v>3.54</v>
      </c>
      <c r="Z55" s="79">
        <v>3.54</v>
      </c>
      <c r="AA55" s="79">
        <v>3.54</v>
      </c>
      <c r="AB55" s="79">
        <v>3.54</v>
      </c>
      <c r="AC55" s="79">
        <v>3.54</v>
      </c>
      <c r="AD55" s="79">
        <v>3.54</v>
      </c>
      <c r="AE55" s="79">
        <v>3.54</v>
      </c>
      <c r="AF55" s="79">
        <v>3.54</v>
      </c>
      <c r="AG55" s="80">
        <f>AG221</f>
        <v>8.56</v>
      </c>
      <c r="AH55" s="53">
        <f t="shared" si="2"/>
        <v>3.54</v>
      </c>
      <c r="AI55" s="54">
        <f t="shared" si="3"/>
        <v>3.54</v>
      </c>
      <c r="AK55" s="55"/>
    </row>
    <row r="56" spans="1:41" ht="15.75" thickBot="1" x14ac:dyDescent="0.3">
      <c r="A56" s="81" t="s">
        <v>64</v>
      </c>
      <c r="B56" s="68">
        <f>SUM(B43:B55)</f>
        <v>418.23999999999995</v>
      </c>
      <c r="C56" s="68">
        <f t="shared" ref="C56:AG56" si="6">SUM(C43:C55)</f>
        <v>418.23999999999995</v>
      </c>
      <c r="D56" s="68">
        <f t="shared" si="6"/>
        <v>417.94</v>
      </c>
      <c r="E56" s="68">
        <f t="shared" si="6"/>
        <v>425.04</v>
      </c>
      <c r="F56" s="68">
        <f t="shared" si="6"/>
        <v>424.84</v>
      </c>
      <c r="G56" s="68">
        <f t="shared" si="6"/>
        <v>424.44</v>
      </c>
      <c r="H56" s="68">
        <f t="shared" si="6"/>
        <v>424.44</v>
      </c>
      <c r="I56" s="68">
        <f t="shared" si="6"/>
        <v>424.44</v>
      </c>
      <c r="J56" s="68">
        <f t="shared" si="6"/>
        <v>424.14</v>
      </c>
      <c r="K56" s="68">
        <f t="shared" si="6"/>
        <v>410.64</v>
      </c>
      <c r="L56" s="68">
        <f t="shared" si="6"/>
        <v>410.64</v>
      </c>
      <c r="M56" s="68">
        <f t="shared" si="6"/>
        <v>433.64</v>
      </c>
      <c r="N56" s="68">
        <f t="shared" si="6"/>
        <v>433.64</v>
      </c>
      <c r="O56" s="68">
        <f t="shared" si="6"/>
        <v>433.64</v>
      </c>
      <c r="P56" s="68">
        <f t="shared" si="6"/>
        <v>433.64</v>
      </c>
      <c r="Q56" s="68">
        <f t="shared" si="6"/>
        <v>433.64</v>
      </c>
      <c r="R56" s="68">
        <f t="shared" si="6"/>
        <v>431.94</v>
      </c>
      <c r="S56" s="68">
        <f t="shared" si="6"/>
        <v>431.94</v>
      </c>
      <c r="T56" s="68">
        <f t="shared" si="6"/>
        <v>431.94</v>
      </c>
      <c r="U56" s="68">
        <f t="shared" si="6"/>
        <v>431.94</v>
      </c>
      <c r="V56" s="68">
        <f t="shared" si="6"/>
        <v>433.24</v>
      </c>
      <c r="W56" s="68">
        <f t="shared" si="6"/>
        <v>433.24</v>
      </c>
      <c r="X56" s="68">
        <f t="shared" si="6"/>
        <v>433.24</v>
      </c>
      <c r="Y56" s="68">
        <f t="shared" si="6"/>
        <v>425.24</v>
      </c>
      <c r="Z56" s="68">
        <f t="shared" si="6"/>
        <v>425.24</v>
      </c>
      <c r="AA56" s="68">
        <f t="shared" si="6"/>
        <v>426.84000000000003</v>
      </c>
      <c r="AB56" s="68">
        <f t="shared" si="6"/>
        <v>426.84000000000003</v>
      </c>
      <c r="AC56" s="68">
        <f t="shared" si="6"/>
        <v>426.84000000000003</v>
      </c>
      <c r="AD56" s="68">
        <f t="shared" si="6"/>
        <v>426.84000000000003</v>
      </c>
      <c r="AE56" s="68">
        <f t="shared" si="6"/>
        <v>426.84000000000003</v>
      </c>
      <c r="AF56" s="68">
        <f t="shared" si="6"/>
        <v>426.84000000000003</v>
      </c>
      <c r="AG56" s="69">
        <f t="shared" si="6"/>
        <v>489.91</v>
      </c>
      <c r="AH56" s="53">
        <f t="shared" si="2"/>
        <v>433.64</v>
      </c>
      <c r="AI56" s="54">
        <f t="shared" si="3"/>
        <v>410.64</v>
      </c>
      <c r="AK56" s="55"/>
    </row>
    <row r="57" spans="1:41" x14ac:dyDescent="0.25">
      <c r="A57" s="48" t="s">
        <v>65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14</v>
      </c>
      <c r="M57" s="49">
        <v>30</v>
      </c>
      <c r="N57" s="49">
        <v>13.4</v>
      </c>
      <c r="O57" s="49">
        <v>13.4</v>
      </c>
      <c r="P57" s="49">
        <v>30</v>
      </c>
      <c r="Q57" s="49">
        <v>30</v>
      </c>
      <c r="R57" s="49">
        <v>25.5</v>
      </c>
      <c r="S57" s="49">
        <v>13.9</v>
      </c>
      <c r="T57" s="49">
        <v>30</v>
      </c>
      <c r="U57" s="49">
        <v>29.6</v>
      </c>
      <c r="V57" s="49">
        <v>19.3</v>
      </c>
      <c r="W57" s="49">
        <v>10</v>
      </c>
      <c r="X57" s="49">
        <v>10</v>
      </c>
      <c r="Y57" s="49">
        <v>10</v>
      </c>
      <c r="Z57" s="49">
        <v>59.7</v>
      </c>
      <c r="AA57" s="49">
        <v>59.6</v>
      </c>
      <c r="AB57" s="49">
        <v>40</v>
      </c>
      <c r="AC57" s="49">
        <v>59.9</v>
      </c>
      <c r="AD57" s="49">
        <v>59.9</v>
      </c>
      <c r="AE57" s="49">
        <v>50</v>
      </c>
      <c r="AF57" s="49">
        <v>14</v>
      </c>
      <c r="AG57" s="57">
        <v>60</v>
      </c>
      <c r="AH57" s="53">
        <f t="shared" si="2"/>
        <v>59.9</v>
      </c>
      <c r="AI57" s="54">
        <f t="shared" si="3"/>
        <v>0</v>
      </c>
      <c r="AK57" s="55"/>
    </row>
    <row r="58" spans="1:41" x14ac:dyDescent="0.25">
      <c r="A58" s="61" t="s">
        <v>66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6.2</v>
      </c>
      <c r="M58" s="72">
        <v>16</v>
      </c>
      <c r="N58" s="72">
        <v>6.6</v>
      </c>
      <c r="O58" s="72">
        <v>6.6</v>
      </c>
      <c r="P58" s="72">
        <v>15.7</v>
      </c>
      <c r="Q58" s="72">
        <v>15.7</v>
      </c>
      <c r="R58" s="72">
        <v>12.2</v>
      </c>
      <c r="S58" s="72">
        <v>16.100000000000001</v>
      </c>
      <c r="T58" s="72">
        <v>16.100000000000001</v>
      </c>
      <c r="U58" s="72">
        <v>13.1</v>
      </c>
      <c r="V58" s="72">
        <v>15.9</v>
      </c>
      <c r="W58" s="72">
        <v>15</v>
      </c>
      <c r="X58" s="72">
        <v>5.9</v>
      </c>
      <c r="Y58" s="72">
        <v>5.9</v>
      </c>
      <c r="Z58" s="72">
        <v>24.3</v>
      </c>
      <c r="AA58" s="72">
        <v>30.4</v>
      </c>
      <c r="AB58" s="72">
        <v>19.2</v>
      </c>
      <c r="AC58" s="72">
        <v>31.2</v>
      </c>
      <c r="AD58" s="72">
        <v>31.2</v>
      </c>
      <c r="AE58" s="72">
        <v>24</v>
      </c>
      <c r="AF58" s="72">
        <v>9</v>
      </c>
      <c r="AG58" s="62">
        <v>32</v>
      </c>
      <c r="AH58" s="53">
        <f t="shared" si="2"/>
        <v>31.2</v>
      </c>
      <c r="AI58" s="54">
        <f t="shared" si="3"/>
        <v>0</v>
      </c>
      <c r="AK58" s="55"/>
    </row>
    <row r="59" spans="1:41" ht="15.75" thickBot="1" x14ac:dyDescent="0.3">
      <c r="A59" s="78" t="s">
        <v>67</v>
      </c>
      <c r="B59" s="74">
        <v>0</v>
      </c>
      <c r="C59" s="74">
        <v>0</v>
      </c>
      <c r="D59" s="74">
        <v>0</v>
      </c>
      <c r="E59" s="74">
        <v>0</v>
      </c>
      <c r="F59" s="74">
        <v>0</v>
      </c>
      <c r="G59" s="74">
        <v>0</v>
      </c>
      <c r="H59" s="74">
        <v>0</v>
      </c>
      <c r="I59" s="74">
        <v>0</v>
      </c>
      <c r="J59" s="74">
        <v>0</v>
      </c>
      <c r="K59" s="74">
        <v>0</v>
      </c>
      <c r="L59" s="74">
        <v>2.2000000000000002</v>
      </c>
      <c r="M59" s="74">
        <v>5.8</v>
      </c>
      <c r="N59" s="74">
        <v>2.4</v>
      </c>
      <c r="O59" s="74">
        <v>2.4</v>
      </c>
      <c r="P59" s="74">
        <v>5.7</v>
      </c>
      <c r="Q59" s="74">
        <v>5.7</v>
      </c>
      <c r="R59" s="74">
        <v>4.5</v>
      </c>
      <c r="S59" s="74">
        <v>5.9</v>
      </c>
      <c r="T59" s="74">
        <v>5.9</v>
      </c>
      <c r="U59" s="74">
        <v>4.8</v>
      </c>
      <c r="V59" s="74">
        <v>5.8</v>
      </c>
      <c r="W59" s="74">
        <v>5.5</v>
      </c>
      <c r="X59" s="74">
        <v>2.2000000000000002</v>
      </c>
      <c r="Y59" s="74">
        <v>2.2000000000000002</v>
      </c>
      <c r="Z59" s="74">
        <v>8.8000000000000007</v>
      </c>
      <c r="AA59" s="74">
        <v>11.1</v>
      </c>
      <c r="AB59" s="74">
        <v>7</v>
      </c>
      <c r="AC59" s="74">
        <v>11.4</v>
      </c>
      <c r="AD59" s="74">
        <v>11.4</v>
      </c>
      <c r="AE59" s="74">
        <v>9</v>
      </c>
      <c r="AF59" s="74">
        <v>3</v>
      </c>
      <c r="AG59" s="75">
        <v>14</v>
      </c>
      <c r="AH59" s="53">
        <f t="shared" si="2"/>
        <v>11.4</v>
      </c>
      <c r="AI59" s="54">
        <f t="shared" si="3"/>
        <v>0</v>
      </c>
      <c r="AK59" s="55"/>
    </row>
    <row r="60" spans="1:41" ht="15.75" thickBot="1" x14ac:dyDescent="0.3">
      <c r="A60" s="81" t="s">
        <v>68</v>
      </c>
      <c r="B60" s="68">
        <f>SUM(B57:B59)</f>
        <v>0</v>
      </c>
      <c r="C60" s="68">
        <f t="shared" ref="C60:AG60" si="7">SUM(C57:C59)</f>
        <v>0</v>
      </c>
      <c r="D60" s="68">
        <f t="shared" si="7"/>
        <v>0</v>
      </c>
      <c r="E60" s="68">
        <f t="shared" si="7"/>
        <v>0</v>
      </c>
      <c r="F60" s="68">
        <f t="shared" si="7"/>
        <v>0</v>
      </c>
      <c r="G60" s="68">
        <f t="shared" si="7"/>
        <v>0</v>
      </c>
      <c r="H60" s="68">
        <f t="shared" si="7"/>
        <v>0</v>
      </c>
      <c r="I60" s="68">
        <f t="shared" si="7"/>
        <v>0</v>
      </c>
      <c r="J60" s="68">
        <f t="shared" si="7"/>
        <v>0</v>
      </c>
      <c r="K60" s="68">
        <f t="shared" si="7"/>
        <v>0</v>
      </c>
      <c r="L60" s="68">
        <f t="shared" si="7"/>
        <v>22.4</v>
      </c>
      <c r="M60" s="68">
        <f t="shared" si="7"/>
        <v>51.8</v>
      </c>
      <c r="N60" s="68">
        <f t="shared" si="7"/>
        <v>22.4</v>
      </c>
      <c r="O60" s="68">
        <f t="shared" si="7"/>
        <v>22.4</v>
      </c>
      <c r="P60" s="68">
        <f t="shared" si="7"/>
        <v>51.400000000000006</v>
      </c>
      <c r="Q60" s="68">
        <f t="shared" si="7"/>
        <v>51.400000000000006</v>
      </c>
      <c r="R60" s="68">
        <f t="shared" si="7"/>
        <v>42.2</v>
      </c>
      <c r="S60" s="68">
        <f t="shared" si="7"/>
        <v>35.9</v>
      </c>
      <c r="T60" s="68">
        <f t="shared" si="7"/>
        <v>52</v>
      </c>
      <c r="U60" s="68">
        <f t="shared" si="7"/>
        <v>47.5</v>
      </c>
      <c r="V60" s="68">
        <f t="shared" si="7"/>
        <v>41</v>
      </c>
      <c r="W60" s="68">
        <f t="shared" si="7"/>
        <v>30.5</v>
      </c>
      <c r="X60" s="68">
        <f t="shared" si="7"/>
        <v>18.100000000000001</v>
      </c>
      <c r="Y60" s="68">
        <f t="shared" si="7"/>
        <v>18.100000000000001</v>
      </c>
      <c r="Z60" s="68">
        <f t="shared" si="7"/>
        <v>92.8</v>
      </c>
      <c r="AA60" s="68">
        <f t="shared" si="7"/>
        <v>101.1</v>
      </c>
      <c r="AB60" s="68">
        <f t="shared" si="7"/>
        <v>66.2</v>
      </c>
      <c r="AC60" s="68">
        <f t="shared" si="7"/>
        <v>102.5</v>
      </c>
      <c r="AD60" s="68">
        <f t="shared" si="7"/>
        <v>102.5</v>
      </c>
      <c r="AE60" s="68">
        <f t="shared" si="7"/>
        <v>83</v>
      </c>
      <c r="AF60" s="68">
        <f t="shared" si="7"/>
        <v>26</v>
      </c>
      <c r="AG60" s="69">
        <f t="shared" si="7"/>
        <v>106</v>
      </c>
      <c r="AH60" s="53">
        <f t="shared" si="2"/>
        <v>102.5</v>
      </c>
      <c r="AI60" s="54">
        <f t="shared" si="3"/>
        <v>0</v>
      </c>
      <c r="AK60" s="55"/>
    </row>
    <row r="61" spans="1:41" x14ac:dyDescent="0.25">
      <c r="A61" s="48" t="s">
        <v>69</v>
      </c>
      <c r="B61" s="49">
        <v>70.2</v>
      </c>
      <c r="C61" s="49">
        <v>43.1</v>
      </c>
      <c r="D61" s="49">
        <v>40</v>
      </c>
      <c r="E61" s="49">
        <v>24</v>
      </c>
      <c r="F61" s="49">
        <v>20</v>
      </c>
      <c r="G61" s="49">
        <v>18</v>
      </c>
      <c r="H61" s="49">
        <v>15</v>
      </c>
      <c r="I61" s="49">
        <v>8</v>
      </c>
      <c r="J61" s="49">
        <v>49</v>
      </c>
      <c r="K61" s="49">
        <v>45</v>
      </c>
      <c r="L61" s="49">
        <v>53.4</v>
      </c>
      <c r="M61" s="49">
        <v>33.5</v>
      </c>
      <c r="N61" s="49">
        <v>53.3</v>
      </c>
      <c r="O61" s="49">
        <v>51.5</v>
      </c>
      <c r="P61" s="49">
        <v>65.900000000000006</v>
      </c>
      <c r="Q61" s="49">
        <v>76</v>
      </c>
      <c r="R61" s="49">
        <v>67.3</v>
      </c>
      <c r="S61" s="49">
        <v>68.099999999999994</v>
      </c>
      <c r="T61" s="49">
        <v>68.5</v>
      </c>
      <c r="U61" s="49">
        <v>62.8</v>
      </c>
      <c r="V61" s="49">
        <v>61</v>
      </c>
      <c r="W61" s="49">
        <v>58.5</v>
      </c>
      <c r="X61" s="49">
        <v>53.7</v>
      </c>
      <c r="Y61" s="49">
        <v>51.8</v>
      </c>
      <c r="Z61" s="49">
        <v>44.5</v>
      </c>
      <c r="AA61" s="49">
        <v>65.8</v>
      </c>
      <c r="AB61" s="49">
        <v>72.400000000000006</v>
      </c>
      <c r="AC61" s="49">
        <v>75</v>
      </c>
      <c r="AD61" s="49">
        <v>63</v>
      </c>
      <c r="AE61" s="49">
        <v>72</v>
      </c>
      <c r="AF61" s="49">
        <v>43</v>
      </c>
      <c r="AG61" s="57"/>
      <c r="AH61" s="53">
        <f t="shared" si="2"/>
        <v>76</v>
      </c>
      <c r="AI61" s="54">
        <f t="shared" si="3"/>
        <v>8</v>
      </c>
      <c r="AK61" s="55"/>
    </row>
    <row r="62" spans="1:41" x14ac:dyDescent="0.25">
      <c r="A62" s="61" t="s">
        <v>70</v>
      </c>
      <c r="B62" s="72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62"/>
      <c r="AH62" s="53">
        <f t="shared" si="2"/>
        <v>0</v>
      </c>
      <c r="AI62" s="54">
        <f t="shared" si="3"/>
        <v>0</v>
      </c>
      <c r="AK62" s="55"/>
    </row>
    <row r="63" spans="1:41" x14ac:dyDescent="0.25">
      <c r="A63" s="61" t="s">
        <v>71</v>
      </c>
      <c r="B63" s="72">
        <v>-365</v>
      </c>
      <c r="C63" s="72">
        <v>-364</v>
      </c>
      <c r="D63" s="72">
        <v>-363.5</v>
      </c>
      <c r="E63" s="72">
        <v>-350</v>
      </c>
      <c r="F63" s="72">
        <v>-352</v>
      </c>
      <c r="G63" s="72">
        <v>-367</v>
      </c>
      <c r="H63" s="72">
        <v>-365</v>
      </c>
      <c r="I63" s="72">
        <v>-376</v>
      </c>
      <c r="J63" s="72">
        <v>-380</v>
      </c>
      <c r="K63" s="72">
        <v>-345</v>
      </c>
      <c r="L63" s="72">
        <v>-290</v>
      </c>
      <c r="M63" s="72">
        <v>-290.7</v>
      </c>
      <c r="N63" s="72">
        <v>-269</v>
      </c>
      <c r="O63" s="72">
        <v>-296</v>
      </c>
      <c r="P63" s="72">
        <v>-259</v>
      </c>
      <c r="Q63" s="72">
        <v>-261</v>
      </c>
      <c r="R63" s="72">
        <v>-215</v>
      </c>
      <c r="S63" s="72">
        <v>-249.2</v>
      </c>
      <c r="T63" s="72">
        <v>-233.9</v>
      </c>
      <c r="U63" s="72">
        <v>-249</v>
      </c>
      <c r="V63" s="72">
        <v>-283.89999999999998</v>
      </c>
      <c r="W63" s="72">
        <v>-282</v>
      </c>
      <c r="X63" s="72">
        <v>-300</v>
      </c>
      <c r="Y63" s="72">
        <v>-268</v>
      </c>
      <c r="Z63" s="72">
        <v>-222</v>
      </c>
      <c r="AA63" s="72">
        <v>-189.4</v>
      </c>
      <c r="AB63" s="72">
        <v>-194</v>
      </c>
      <c r="AC63" s="72">
        <v>-250</v>
      </c>
      <c r="AD63" s="72">
        <v>-263</v>
      </c>
      <c r="AE63" s="72">
        <v>-310</v>
      </c>
      <c r="AF63" s="72">
        <v>-320</v>
      </c>
      <c r="AG63" s="82"/>
      <c r="AH63" s="53">
        <f t="shared" si="2"/>
        <v>-189.4</v>
      </c>
      <c r="AI63" s="54">
        <f t="shared" si="3"/>
        <v>-380</v>
      </c>
      <c r="AK63" s="55"/>
    </row>
    <row r="64" spans="1:41" x14ac:dyDescent="0.25">
      <c r="A64" s="61" t="s">
        <v>72</v>
      </c>
      <c r="B64" s="83">
        <v>0</v>
      </c>
      <c r="C64" s="83">
        <v>0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11.5</v>
      </c>
      <c r="N64" s="83">
        <v>11.5</v>
      </c>
      <c r="O64" s="83">
        <v>11.5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3">
        <v>0</v>
      </c>
      <c r="Y64" s="83">
        <v>0</v>
      </c>
      <c r="Z64" s="83">
        <v>0</v>
      </c>
      <c r="AA64" s="83">
        <v>0</v>
      </c>
      <c r="AB64" s="83">
        <v>0</v>
      </c>
      <c r="AC64" s="83">
        <v>0</v>
      </c>
      <c r="AD64" s="83">
        <v>0</v>
      </c>
      <c r="AE64" s="83">
        <v>15</v>
      </c>
      <c r="AF64" s="83">
        <v>12</v>
      </c>
      <c r="AG64" s="82"/>
      <c r="AH64" s="53">
        <f t="shared" si="2"/>
        <v>15</v>
      </c>
      <c r="AI64" s="54">
        <f t="shared" si="3"/>
        <v>0</v>
      </c>
      <c r="AK64" s="55"/>
    </row>
    <row r="65" spans="1:88" x14ac:dyDescent="0.25">
      <c r="A65" s="61" t="s">
        <v>73</v>
      </c>
      <c r="B65" s="49">
        <v>0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0</v>
      </c>
      <c r="Y65" s="49">
        <v>0</v>
      </c>
      <c r="Z65" s="49">
        <v>0</v>
      </c>
      <c r="AA65" s="49">
        <v>0</v>
      </c>
      <c r="AB65" s="49">
        <v>0</v>
      </c>
      <c r="AC65" s="49">
        <v>0</v>
      </c>
      <c r="AD65" s="49">
        <v>0</v>
      </c>
      <c r="AE65" s="49">
        <v>0</v>
      </c>
      <c r="AF65" s="49">
        <v>0</v>
      </c>
      <c r="AG65" s="82"/>
      <c r="AH65" s="53">
        <f t="shared" si="2"/>
        <v>0</v>
      </c>
      <c r="AI65" s="54">
        <f t="shared" si="3"/>
        <v>0</v>
      </c>
      <c r="AK65" s="55"/>
    </row>
    <row r="66" spans="1:88" x14ac:dyDescent="0.25">
      <c r="A66" s="61" t="s">
        <v>74</v>
      </c>
      <c r="B66" s="84">
        <v>4</v>
      </c>
      <c r="C66" s="84">
        <v>4</v>
      </c>
      <c r="D66" s="84">
        <v>4</v>
      </c>
      <c r="E66" s="84">
        <v>4</v>
      </c>
      <c r="F66" s="84">
        <v>4</v>
      </c>
      <c r="G66" s="84">
        <v>4</v>
      </c>
      <c r="H66" s="84">
        <v>4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5</v>
      </c>
      <c r="O66" s="84">
        <v>5</v>
      </c>
      <c r="P66" s="84">
        <v>5</v>
      </c>
      <c r="Q66" s="84">
        <v>5</v>
      </c>
      <c r="R66" s="84">
        <v>5</v>
      </c>
      <c r="S66" s="84">
        <v>5</v>
      </c>
      <c r="T66" s="84">
        <v>5</v>
      </c>
      <c r="U66" s="84">
        <v>5</v>
      </c>
      <c r="V66" s="84">
        <v>5</v>
      </c>
      <c r="W66" s="84">
        <v>5</v>
      </c>
      <c r="X66" s="84">
        <v>5</v>
      </c>
      <c r="Y66" s="84">
        <v>5</v>
      </c>
      <c r="Z66" s="84">
        <v>5</v>
      </c>
      <c r="AA66" s="84">
        <v>7</v>
      </c>
      <c r="AB66" s="84">
        <v>7</v>
      </c>
      <c r="AC66" s="84">
        <v>7</v>
      </c>
      <c r="AD66" s="84">
        <v>7</v>
      </c>
      <c r="AE66" s="84">
        <v>7</v>
      </c>
      <c r="AF66" s="84">
        <v>7</v>
      </c>
      <c r="AG66" s="82"/>
      <c r="AH66" s="53">
        <f t="shared" si="2"/>
        <v>7</v>
      </c>
      <c r="AI66" s="54">
        <f t="shared" si="3"/>
        <v>0</v>
      </c>
      <c r="AK66" s="55"/>
    </row>
    <row r="67" spans="1:88" x14ac:dyDescent="0.25">
      <c r="A67" s="61" t="s">
        <v>75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0</v>
      </c>
      <c r="Y67" s="84">
        <v>0</v>
      </c>
      <c r="Z67" s="84">
        <v>0</v>
      </c>
      <c r="AA67" s="84">
        <v>0</v>
      </c>
      <c r="AB67" s="84">
        <v>0</v>
      </c>
      <c r="AC67" s="84">
        <v>0</v>
      </c>
      <c r="AD67" s="84">
        <v>0</v>
      </c>
      <c r="AE67" s="84">
        <v>0</v>
      </c>
      <c r="AF67" s="84">
        <v>0</v>
      </c>
      <c r="AG67" s="82"/>
      <c r="AH67" s="53">
        <f t="shared" si="2"/>
        <v>0</v>
      </c>
      <c r="AI67" s="54">
        <f t="shared" si="3"/>
        <v>0</v>
      </c>
      <c r="AK67" s="55"/>
    </row>
    <row r="68" spans="1:88" x14ac:dyDescent="0.25">
      <c r="A68" s="61" t="s">
        <v>76</v>
      </c>
      <c r="B68" s="83">
        <v>0</v>
      </c>
      <c r="C68" s="83">
        <v>0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0</v>
      </c>
      <c r="X68" s="83">
        <v>0</v>
      </c>
      <c r="Y68" s="83">
        <v>0</v>
      </c>
      <c r="Z68" s="83">
        <v>0</v>
      </c>
      <c r="AA68" s="83">
        <v>0</v>
      </c>
      <c r="AB68" s="83">
        <v>0</v>
      </c>
      <c r="AC68" s="83">
        <v>0</v>
      </c>
      <c r="AD68" s="83">
        <v>0</v>
      </c>
      <c r="AE68" s="83">
        <v>0</v>
      </c>
      <c r="AF68" s="83">
        <v>0</v>
      </c>
      <c r="AG68" s="82"/>
      <c r="AH68" s="53">
        <f t="shared" si="2"/>
        <v>0</v>
      </c>
      <c r="AI68" s="54">
        <f t="shared" si="3"/>
        <v>0</v>
      </c>
      <c r="AK68" s="55"/>
    </row>
    <row r="69" spans="1:88" x14ac:dyDescent="0.25">
      <c r="A69" s="61" t="s">
        <v>77</v>
      </c>
      <c r="B69" s="83">
        <v>0</v>
      </c>
      <c r="C69" s="83">
        <v>0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  <c r="V69" s="83">
        <v>0</v>
      </c>
      <c r="W69" s="83">
        <v>0</v>
      </c>
      <c r="X69" s="83">
        <v>0</v>
      </c>
      <c r="Y69" s="83">
        <v>0</v>
      </c>
      <c r="Z69" s="83">
        <v>0</v>
      </c>
      <c r="AA69" s="83">
        <v>0</v>
      </c>
      <c r="AB69" s="83">
        <v>0</v>
      </c>
      <c r="AC69" s="83">
        <v>0</v>
      </c>
      <c r="AD69" s="83">
        <v>0</v>
      </c>
      <c r="AE69" s="83">
        <v>0</v>
      </c>
      <c r="AF69" s="83">
        <v>0</v>
      </c>
      <c r="AG69" s="82"/>
      <c r="AH69" s="53">
        <f t="shared" si="2"/>
        <v>0</v>
      </c>
      <c r="AI69" s="54">
        <f t="shared" si="3"/>
        <v>0</v>
      </c>
      <c r="AK69" s="55"/>
    </row>
    <row r="70" spans="1:88" x14ac:dyDescent="0.25">
      <c r="A70" s="85" t="s">
        <v>78</v>
      </c>
      <c r="B70" s="86">
        <v>0</v>
      </c>
      <c r="C70" s="86">
        <v>0</v>
      </c>
      <c r="D70" s="86">
        <v>0</v>
      </c>
      <c r="E70" s="86">
        <v>0</v>
      </c>
      <c r="F70" s="86">
        <v>0</v>
      </c>
      <c r="G70" s="86">
        <v>0</v>
      </c>
      <c r="H70" s="86">
        <v>0</v>
      </c>
      <c r="I70" s="86">
        <v>0</v>
      </c>
      <c r="J70" s="86">
        <v>0</v>
      </c>
      <c r="K70" s="86">
        <v>0</v>
      </c>
      <c r="L70" s="86">
        <v>0</v>
      </c>
      <c r="M70" s="86">
        <v>0</v>
      </c>
      <c r="N70" s="86">
        <v>0</v>
      </c>
      <c r="O70" s="86">
        <v>0</v>
      </c>
      <c r="P70" s="86">
        <v>0</v>
      </c>
      <c r="Q70" s="86">
        <v>0</v>
      </c>
      <c r="R70" s="86">
        <v>0</v>
      </c>
      <c r="S70" s="86">
        <v>0</v>
      </c>
      <c r="T70" s="86">
        <v>0</v>
      </c>
      <c r="U70" s="86">
        <v>0</v>
      </c>
      <c r="V70" s="86">
        <v>0</v>
      </c>
      <c r="W70" s="86">
        <v>0</v>
      </c>
      <c r="X70" s="86">
        <v>0</v>
      </c>
      <c r="Y70" s="86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7"/>
      <c r="AH70" s="53">
        <f t="shared" si="2"/>
        <v>0</v>
      </c>
      <c r="AI70" s="54">
        <f t="shared" si="3"/>
        <v>0</v>
      </c>
      <c r="AK70" s="55"/>
    </row>
    <row r="71" spans="1:88" ht="15.75" thickBot="1" x14ac:dyDescent="0.3">
      <c r="A71" s="85" t="s">
        <v>79</v>
      </c>
      <c r="B71" s="86">
        <v>0</v>
      </c>
      <c r="C71" s="86">
        <v>0</v>
      </c>
      <c r="D71" s="86">
        <v>0</v>
      </c>
      <c r="E71" s="86">
        <v>0</v>
      </c>
      <c r="F71" s="86">
        <v>0</v>
      </c>
      <c r="G71" s="86">
        <v>0</v>
      </c>
      <c r="H71" s="86">
        <v>0</v>
      </c>
      <c r="I71" s="86">
        <v>0</v>
      </c>
      <c r="J71" s="86">
        <v>0</v>
      </c>
      <c r="K71" s="86">
        <v>0</v>
      </c>
      <c r="L71" s="86">
        <v>0</v>
      </c>
      <c r="M71" s="86">
        <v>0</v>
      </c>
      <c r="N71" s="86">
        <v>0</v>
      </c>
      <c r="O71" s="86">
        <v>0</v>
      </c>
      <c r="P71" s="86">
        <v>0</v>
      </c>
      <c r="Q71" s="86">
        <v>0</v>
      </c>
      <c r="R71" s="86">
        <v>0</v>
      </c>
      <c r="S71" s="86">
        <v>0</v>
      </c>
      <c r="T71" s="86">
        <v>0</v>
      </c>
      <c r="U71" s="86">
        <v>0</v>
      </c>
      <c r="V71" s="86">
        <v>0</v>
      </c>
      <c r="W71" s="86">
        <v>0</v>
      </c>
      <c r="X71" s="86">
        <v>0</v>
      </c>
      <c r="Y71" s="86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7"/>
      <c r="AH71" s="53">
        <f t="shared" si="2"/>
        <v>0</v>
      </c>
      <c r="AI71" s="54">
        <f t="shared" si="3"/>
        <v>0</v>
      </c>
      <c r="AK71" s="55"/>
    </row>
    <row r="72" spans="1:88" ht="15.75" thickBot="1" x14ac:dyDescent="0.3">
      <c r="A72" s="81" t="s">
        <v>80</v>
      </c>
      <c r="B72" s="68">
        <f>SUMIF(B61:B71,"&gt;0")</f>
        <v>74.2</v>
      </c>
      <c r="C72" s="68">
        <f t="shared" ref="C72:L72" si="8">SUMIF(C61:C71,"&gt;0")</f>
        <v>47.1</v>
      </c>
      <c r="D72" s="68">
        <f t="shared" si="8"/>
        <v>44</v>
      </c>
      <c r="E72" s="68">
        <f t="shared" si="8"/>
        <v>28</v>
      </c>
      <c r="F72" s="68">
        <f t="shared" si="8"/>
        <v>24</v>
      </c>
      <c r="G72" s="68">
        <f t="shared" si="8"/>
        <v>22</v>
      </c>
      <c r="H72" s="68">
        <f t="shared" si="8"/>
        <v>19</v>
      </c>
      <c r="I72" s="68">
        <f t="shared" si="8"/>
        <v>8</v>
      </c>
      <c r="J72" s="68">
        <f t="shared" si="8"/>
        <v>49</v>
      </c>
      <c r="K72" s="68">
        <f t="shared" si="8"/>
        <v>45</v>
      </c>
      <c r="L72" s="68">
        <f t="shared" si="8"/>
        <v>53.4</v>
      </c>
      <c r="M72" s="68">
        <f>SUMIF(M61:M71,"&gt;0")</f>
        <v>45</v>
      </c>
      <c r="N72" s="68">
        <f t="shared" ref="N72:AF72" si="9">SUMIF(N61:N71,"&gt;0")</f>
        <v>69.8</v>
      </c>
      <c r="O72" s="68">
        <f t="shared" si="9"/>
        <v>68</v>
      </c>
      <c r="P72" s="68">
        <f t="shared" si="9"/>
        <v>70.900000000000006</v>
      </c>
      <c r="Q72" s="68">
        <f t="shared" si="9"/>
        <v>81</v>
      </c>
      <c r="R72" s="68">
        <f t="shared" si="9"/>
        <v>72.3</v>
      </c>
      <c r="S72" s="68">
        <f t="shared" si="9"/>
        <v>73.099999999999994</v>
      </c>
      <c r="T72" s="68">
        <f t="shared" si="9"/>
        <v>73.5</v>
      </c>
      <c r="U72" s="68">
        <f t="shared" si="9"/>
        <v>67.8</v>
      </c>
      <c r="V72" s="68">
        <f t="shared" si="9"/>
        <v>66</v>
      </c>
      <c r="W72" s="68">
        <f t="shared" si="9"/>
        <v>63.5</v>
      </c>
      <c r="X72" s="68">
        <f t="shared" si="9"/>
        <v>58.7</v>
      </c>
      <c r="Y72" s="68">
        <f t="shared" si="9"/>
        <v>56.8</v>
      </c>
      <c r="Z72" s="68">
        <f t="shared" si="9"/>
        <v>49.5</v>
      </c>
      <c r="AA72" s="68">
        <f t="shared" si="9"/>
        <v>72.8</v>
      </c>
      <c r="AB72" s="68">
        <f t="shared" si="9"/>
        <v>79.400000000000006</v>
      </c>
      <c r="AC72" s="68">
        <f t="shared" si="9"/>
        <v>82</v>
      </c>
      <c r="AD72" s="68">
        <f t="shared" si="9"/>
        <v>70</v>
      </c>
      <c r="AE72" s="68">
        <f t="shared" si="9"/>
        <v>94</v>
      </c>
      <c r="AF72" s="68">
        <f t="shared" si="9"/>
        <v>62</v>
      </c>
      <c r="AG72" s="88">
        <f>SUM(AG61:AG71)</f>
        <v>0</v>
      </c>
      <c r="AH72" s="53">
        <f t="shared" si="2"/>
        <v>94</v>
      </c>
      <c r="AI72" s="54">
        <f t="shared" si="3"/>
        <v>8</v>
      </c>
      <c r="AK72" s="55"/>
    </row>
    <row r="73" spans="1:88" x14ac:dyDescent="0.25">
      <c r="A73" s="48" t="s">
        <v>81</v>
      </c>
      <c r="B73" s="83">
        <v>0</v>
      </c>
      <c r="C73" s="83">
        <v>0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0</v>
      </c>
      <c r="S73" s="83">
        <v>0</v>
      </c>
      <c r="T73" s="83">
        <v>0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0</v>
      </c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3">
        <v>0</v>
      </c>
      <c r="AG73" s="89">
        <v>39</v>
      </c>
      <c r="AH73" s="53">
        <f t="shared" si="2"/>
        <v>0</v>
      </c>
      <c r="AI73" s="54">
        <f t="shared" si="3"/>
        <v>0</v>
      </c>
      <c r="AK73" s="55"/>
    </row>
    <row r="74" spans="1:88" x14ac:dyDescent="0.25">
      <c r="A74" s="61" t="s">
        <v>82</v>
      </c>
      <c r="B74" s="84">
        <v>0</v>
      </c>
      <c r="C74" s="84">
        <v>0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  <c r="Q74" s="84">
        <v>0</v>
      </c>
      <c r="R74" s="84">
        <v>0</v>
      </c>
      <c r="S74" s="84">
        <v>0</v>
      </c>
      <c r="T74" s="84">
        <v>0</v>
      </c>
      <c r="U74" s="84">
        <v>0</v>
      </c>
      <c r="V74" s="84">
        <v>0</v>
      </c>
      <c r="W74" s="84">
        <v>0</v>
      </c>
      <c r="X74" s="84">
        <v>0</v>
      </c>
      <c r="Y74" s="84">
        <v>0</v>
      </c>
      <c r="Z74" s="84">
        <v>0</v>
      </c>
      <c r="AA74" s="84">
        <v>0</v>
      </c>
      <c r="AB74" s="84">
        <v>0</v>
      </c>
      <c r="AC74" s="84">
        <v>0</v>
      </c>
      <c r="AD74" s="84">
        <v>0</v>
      </c>
      <c r="AE74" s="84">
        <v>0</v>
      </c>
      <c r="AF74" s="84">
        <v>0</v>
      </c>
      <c r="AG74" s="82">
        <v>14.4</v>
      </c>
      <c r="AH74" s="53">
        <f t="shared" si="2"/>
        <v>0</v>
      </c>
      <c r="AI74" s="54">
        <f t="shared" si="3"/>
        <v>0</v>
      </c>
      <c r="AK74" s="55"/>
    </row>
    <row r="75" spans="1:88" ht="15.75" thickBot="1" x14ac:dyDescent="0.3">
      <c r="A75" s="85" t="s">
        <v>83</v>
      </c>
      <c r="B75" s="86">
        <v>0</v>
      </c>
      <c r="C75" s="86">
        <v>0</v>
      </c>
      <c r="D75" s="86">
        <v>0</v>
      </c>
      <c r="E75" s="86">
        <v>0</v>
      </c>
      <c r="F75" s="86">
        <v>0</v>
      </c>
      <c r="G75" s="86">
        <v>0</v>
      </c>
      <c r="H75" s="86">
        <v>0</v>
      </c>
      <c r="I75" s="86">
        <v>0</v>
      </c>
      <c r="J75" s="86">
        <v>0</v>
      </c>
      <c r="K75" s="86">
        <v>0</v>
      </c>
      <c r="L75" s="86">
        <v>0</v>
      </c>
      <c r="M75" s="86">
        <v>0</v>
      </c>
      <c r="N75" s="86">
        <v>0</v>
      </c>
      <c r="O75" s="86">
        <v>0</v>
      </c>
      <c r="P75" s="86">
        <v>0</v>
      </c>
      <c r="Q75" s="86">
        <v>0</v>
      </c>
      <c r="R75" s="86">
        <v>0</v>
      </c>
      <c r="S75" s="86">
        <v>0</v>
      </c>
      <c r="T75" s="86">
        <v>0</v>
      </c>
      <c r="U75" s="86">
        <v>0</v>
      </c>
      <c r="V75" s="86">
        <v>0</v>
      </c>
      <c r="W75" s="86">
        <v>0</v>
      </c>
      <c r="X75" s="86">
        <v>0</v>
      </c>
      <c r="Y75" s="86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7">
        <v>2</v>
      </c>
      <c r="AH75" s="53">
        <f t="shared" si="2"/>
        <v>0</v>
      </c>
      <c r="AI75" s="54">
        <f t="shared" si="3"/>
        <v>0</v>
      </c>
    </row>
    <row r="76" spans="1:88" s="1" customFormat="1" ht="15.75" thickBot="1" x14ac:dyDescent="0.3">
      <c r="A76" s="81" t="s">
        <v>84</v>
      </c>
      <c r="B76" s="68">
        <v>0</v>
      </c>
      <c r="C76" s="68">
        <v>0</v>
      </c>
      <c r="D76" s="68">
        <v>0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0</v>
      </c>
      <c r="P76" s="68">
        <v>0</v>
      </c>
      <c r="Q76" s="68">
        <v>0</v>
      </c>
      <c r="R76" s="68">
        <v>0</v>
      </c>
      <c r="S76" s="68">
        <v>0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0</v>
      </c>
      <c r="AF76" s="68">
        <v>0</v>
      </c>
      <c r="AG76" s="88">
        <f>SUM(AG73:AG75)</f>
        <v>55.4</v>
      </c>
      <c r="AH76" s="53">
        <f t="shared" si="2"/>
        <v>0</v>
      </c>
      <c r="AI76" s="54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ht="15.75" thickBot="1" x14ac:dyDescent="0.3">
      <c r="A77" s="81" t="s">
        <v>85</v>
      </c>
      <c r="B77" s="90">
        <f>B38+B42+B60+B56+B72+B76</f>
        <v>1876.74</v>
      </c>
      <c r="C77" s="90">
        <f t="shared" ref="C77:AF77" si="10">C38+C42+C60+C56+C72+C76</f>
        <v>1852.6399999999999</v>
      </c>
      <c r="D77" s="90">
        <f t="shared" si="10"/>
        <v>1844.24</v>
      </c>
      <c r="E77" s="90">
        <f t="shared" si="10"/>
        <v>1840.34</v>
      </c>
      <c r="F77" s="90">
        <f t="shared" si="10"/>
        <v>1836.1399999999999</v>
      </c>
      <c r="G77" s="90">
        <f t="shared" si="10"/>
        <v>1833.74</v>
      </c>
      <c r="H77" s="90">
        <f t="shared" si="10"/>
        <v>1830.74</v>
      </c>
      <c r="I77" s="90">
        <f t="shared" si="10"/>
        <v>1819.74</v>
      </c>
      <c r="J77" s="90">
        <f t="shared" si="10"/>
        <v>1836.44</v>
      </c>
      <c r="K77" s="90">
        <f t="shared" si="10"/>
        <v>1842.94</v>
      </c>
      <c r="L77" s="90">
        <f t="shared" si="10"/>
        <v>1873.7400000000002</v>
      </c>
      <c r="M77" s="90">
        <f t="shared" si="10"/>
        <v>1919.7399999999998</v>
      </c>
      <c r="N77" s="90">
        <f t="shared" si="10"/>
        <v>1915.14</v>
      </c>
      <c r="O77" s="90">
        <f t="shared" si="10"/>
        <v>1903.94</v>
      </c>
      <c r="P77" s="90">
        <f t="shared" si="10"/>
        <v>1943.3400000000001</v>
      </c>
      <c r="Q77" s="90">
        <f t="shared" si="10"/>
        <v>1953.44</v>
      </c>
      <c r="R77" s="90">
        <f t="shared" si="10"/>
        <v>1935.84</v>
      </c>
      <c r="S77" s="90">
        <f t="shared" si="10"/>
        <v>1930.34</v>
      </c>
      <c r="T77" s="90">
        <f t="shared" si="10"/>
        <v>1946.84</v>
      </c>
      <c r="U77" s="90">
        <f t="shared" si="10"/>
        <v>1928.64</v>
      </c>
      <c r="V77" s="90">
        <f t="shared" si="10"/>
        <v>1899.64</v>
      </c>
      <c r="W77" s="90">
        <f t="shared" si="10"/>
        <v>1899.24</v>
      </c>
      <c r="X77" s="90">
        <f t="shared" si="10"/>
        <v>1884.04</v>
      </c>
      <c r="Y77" s="90">
        <f t="shared" si="10"/>
        <v>1872.1399999999999</v>
      </c>
      <c r="Z77" s="90">
        <f t="shared" si="10"/>
        <v>1950.54</v>
      </c>
      <c r="AA77" s="90">
        <f t="shared" si="10"/>
        <v>1986.5399999999997</v>
      </c>
      <c r="AB77" s="90">
        <f t="shared" si="10"/>
        <v>1958.2400000000002</v>
      </c>
      <c r="AC77" s="90">
        <f t="shared" si="10"/>
        <v>1997.1399999999999</v>
      </c>
      <c r="AD77" s="90">
        <f t="shared" si="10"/>
        <v>1985.1399999999999</v>
      </c>
      <c r="AE77" s="90">
        <f t="shared" si="10"/>
        <v>1989.6399999999999</v>
      </c>
      <c r="AF77" s="90">
        <f t="shared" si="10"/>
        <v>1894.6399999999999</v>
      </c>
      <c r="AG77" s="69">
        <f>AG38+AG42+AG60+AG56+AG72+AG76</f>
        <v>1855.1900000000003</v>
      </c>
      <c r="AH77" s="53">
        <f t="shared" si="2"/>
        <v>1997.1399999999999</v>
      </c>
      <c r="AI77" s="54">
        <f t="shared" si="3"/>
        <v>1819.74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91" t="s">
        <v>86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88"/>
      <c r="AH78" s="53">
        <f t="shared" si="2"/>
        <v>0</v>
      </c>
      <c r="AI78" s="54">
        <f t="shared" si="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1" t="s">
        <v>87</v>
      </c>
      <c r="B79" s="90">
        <f>B77+B78</f>
        <v>1876.74</v>
      </c>
      <c r="C79" s="90">
        <f t="shared" ref="C79:AF79" si="11">C77+C78</f>
        <v>1852.6399999999999</v>
      </c>
      <c r="D79" s="90">
        <f t="shared" si="11"/>
        <v>1844.24</v>
      </c>
      <c r="E79" s="90">
        <f t="shared" si="11"/>
        <v>1840.34</v>
      </c>
      <c r="F79" s="90">
        <f t="shared" si="11"/>
        <v>1836.1399999999999</v>
      </c>
      <c r="G79" s="90">
        <f t="shared" si="11"/>
        <v>1833.74</v>
      </c>
      <c r="H79" s="90">
        <f t="shared" si="11"/>
        <v>1830.74</v>
      </c>
      <c r="I79" s="90">
        <f t="shared" si="11"/>
        <v>1819.74</v>
      </c>
      <c r="J79" s="90">
        <f t="shared" si="11"/>
        <v>1836.44</v>
      </c>
      <c r="K79" s="90">
        <f t="shared" si="11"/>
        <v>1842.94</v>
      </c>
      <c r="L79" s="90">
        <f t="shared" si="11"/>
        <v>1873.7400000000002</v>
      </c>
      <c r="M79" s="90">
        <f t="shared" si="11"/>
        <v>1919.7399999999998</v>
      </c>
      <c r="N79" s="90">
        <f t="shared" si="11"/>
        <v>1915.14</v>
      </c>
      <c r="O79" s="90">
        <f t="shared" si="11"/>
        <v>1903.94</v>
      </c>
      <c r="P79" s="90">
        <f t="shared" si="11"/>
        <v>1943.3400000000001</v>
      </c>
      <c r="Q79" s="90">
        <f t="shared" si="11"/>
        <v>1953.44</v>
      </c>
      <c r="R79" s="90">
        <f t="shared" si="11"/>
        <v>1935.84</v>
      </c>
      <c r="S79" s="90">
        <f t="shared" si="11"/>
        <v>1930.34</v>
      </c>
      <c r="T79" s="90">
        <f t="shared" si="11"/>
        <v>1946.84</v>
      </c>
      <c r="U79" s="90">
        <f t="shared" si="11"/>
        <v>1928.64</v>
      </c>
      <c r="V79" s="90">
        <f t="shared" si="11"/>
        <v>1899.64</v>
      </c>
      <c r="W79" s="90">
        <f t="shared" si="11"/>
        <v>1899.24</v>
      </c>
      <c r="X79" s="90">
        <f t="shared" si="11"/>
        <v>1884.04</v>
      </c>
      <c r="Y79" s="90">
        <f t="shared" si="11"/>
        <v>1872.1399999999999</v>
      </c>
      <c r="Z79" s="90">
        <f t="shared" si="11"/>
        <v>1950.54</v>
      </c>
      <c r="AA79" s="90">
        <f t="shared" si="11"/>
        <v>1986.5399999999997</v>
      </c>
      <c r="AB79" s="90">
        <f t="shared" si="11"/>
        <v>1958.2400000000002</v>
      </c>
      <c r="AC79" s="90">
        <f t="shared" si="11"/>
        <v>1997.1399999999999</v>
      </c>
      <c r="AD79" s="90">
        <f t="shared" si="11"/>
        <v>1985.1399999999999</v>
      </c>
      <c r="AE79" s="90">
        <f t="shared" si="11"/>
        <v>1989.6399999999999</v>
      </c>
      <c r="AF79" s="90">
        <f t="shared" si="11"/>
        <v>1894.6399999999999</v>
      </c>
      <c r="AG79" s="88">
        <f>AG76+AG72+AG60+AG56+AG38+AG78</f>
        <v>1317.0900000000001</v>
      </c>
      <c r="AH79" s="53">
        <f t="shared" si="2"/>
        <v>1997.1399999999999</v>
      </c>
      <c r="AI79" s="54">
        <f t="shared" si="3"/>
        <v>1819.74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1" t="s">
        <v>88</v>
      </c>
      <c r="B80" s="90">
        <f>B79-B87</f>
        <v>1511.74</v>
      </c>
      <c r="C80" s="90">
        <f t="shared" ref="C80:AF80" si="12">C79-C87</f>
        <v>1488.6399999999999</v>
      </c>
      <c r="D80" s="90">
        <f t="shared" si="12"/>
        <v>1480.74</v>
      </c>
      <c r="E80" s="90">
        <f t="shared" si="12"/>
        <v>1490.34</v>
      </c>
      <c r="F80" s="90">
        <f t="shared" si="12"/>
        <v>1484.1399999999999</v>
      </c>
      <c r="G80" s="90">
        <f t="shared" si="12"/>
        <v>1466.74</v>
      </c>
      <c r="H80" s="90">
        <f t="shared" si="12"/>
        <v>1465.74</v>
      </c>
      <c r="I80" s="90">
        <f t="shared" si="12"/>
        <v>1443.74</v>
      </c>
      <c r="J80" s="90">
        <f t="shared" si="12"/>
        <v>1456.44</v>
      </c>
      <c r="K80" s="90">
        <f t="shared" si="12"/>
        <v>1497.94</v>
      </c>
      <c r="L80" s="90">
        <f t="shared" si="12"/>
        <v>1583.7400000000002</v>
      </c>
      <c r="M80" s="90">
        <f t="shared" si="12"/>
        <v>1629.0399999999997</v>
      </c>
      <c r="N80" s="90">
        <f t="shared" si="12"/>
        <v>1646.14</v>
      </c>
      <c r="O80" s="90">
        <f t="shared" si="12"/>
        <v>1607.94</v>
      </c>
      <c r="P80" s="90">
        <f t="shared" si="12"/>
        <v>1684.3400000000001</v>
      </c>
      <c r="Q80" s="90">
        <f t="shared" si="12"/>
        <v>1692.44</v>
      </c>
      <c r="R80" s="90">
        <f t="shared" si="12"/>
        <v>1720.84</v>
      </c>
      <c r="S80" s="90">
        <f t="shared" si="12"/>
        <v>1681.1399999999999</v>
      </c>
      <c r="T80" s="90">
        <f t="shared" si="12"/>
        <v>1712.9399999999998</v>
      </c>
      <c r="U80" s="90">
        <f t="shared" si="12"/>
        <v>1679.64</v>
      </c>
      <c r="V80" s="90">
        <f t="shared" si="12"/>
        <v>1615.7400000000002</v>
      </c>
      <c r="W80" s="90">
        <f t="shared" si="12"/>
        <v>1617.24</v>
      </c>
      <c r="X80" s="90">
        <f t="shared" si="12"/>
        <v>1584.04</v>
      </c>
      <c r="Y80" s="90">
        <f t="shared" si="12"/>
        <v>1604.1399999999999</v>
      </c>
      <c r="Z80" s="90">
        <f t="shared" si="12"/>
        <v>1728.54</v>
      </c>
      <c r="AA80" s="90">
        <f t="shared" si="12"/>
        <v>1797.1399999999996</v>
      </c>
      <c r="AB80" s="90">
        <f t="shared" si="12"/>
        <v>1764.2400000000002</v>
      </c>
      <c r="AC80" s="90">
        <f t="shared" si="12"/>
        <v>1747.1399999999999</v>
      </c>
      <c r="AD80" s="90">
        <f t="shared" si="12"/>
        <v>1722.1399999999999</v>
      </c>
      <c r="AE80" s="90">
        <f t="shared" si="12"/>
        <v>1679.6399999999999</v>
      </c>
      <c r="AF80" s="90">
        <f t="shared" si="12"/>
        <v>1574.6399999999999</v>
      </c>
      <c r="AG80" s="88"/>
      <c r="AH80" s="53">
        <f t="shared" ref="AH80:AH97" si="13">MAX(B80:AF80)</f>
        <v>1797.1399999999996</v>
      </c>
      <c r="AI80" s="54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48" t="s">
        <v>72</v>
      </c>
      <c r="B81" s="83">
        <f>IF(B64&lt;0,B64*-1,0)</f>
        <v>0</v>
      </c>
      <c r="C81" s="83">
        <f t="shared" ref="C81:AF81" si="14">IF(C64&lt;0,C64*-1,0)</f>
        <v>0</v>
      </c>
      <c r="D81" s="83">
        <f t="shared" si="14"/>
        <v>0</v>
      </c>
      <c r="E81" s="83">
        <f t="shared" si="14"/>
        <v>0</v>
      </c>
      <c r="F81" s="83">
        <f t="shared" si="14"/>
        <v>0</v>
      </c>
      <c r="G81" s="83">
        <f t="shared" si="14"/>
        <v>0</v>
      </c>
      <c r="H81" s="83">
        <f t="shared" si="14"/>
        <v>0</v>
      </c>
      <c r="I81" s="83">
        <f t="shared" si="14"/>
        <v>0</v>
      </c>
      <c r="J81" s="83">
        <f t="shared" si="14"/>
        <v>0</v>
      </c>
      <c r="K81" s="83">
        <f t="shared" si="14"/>
        <v>0</v>
      </c>
      <c r="L81" s="83">
        <f t="shared" si="14"/>
        <v>0</v>
      </c>
      <c r="M81" s="83">
        <f t="shared" si="14"/>
        <v>0</v>
      </c>
      <c r="N81" s="83">
        <f t="shared" si="14"/>
        <v>0</v>
      </c>
      <c r="O81" s="83">
        <f t="shared" si="14"/>
        <v>0</v>
      </c>
      <c r="P81" s="83">
        <f t="shared" si="14"/>
        <v>0</v>
      </c>
      <c r="Q81" s="83">
        <f t="shared" si="14"/>
        <v>0</v>
      </c>
      <c r="R81" s="83">
        <f t="shared" si="14"/>
        <v>0</v>
      </c>
      <c r="S81" s="83">
        <f t="shared" si="14"/>
        <v>0</v>
      </c>
      <c r="T81" s="83">
        <f t="shared" si="14"/>
        <v>0</v>
      </c>
      <c r="U81" s="83">
        <f t="shared" si="14"/>
        <v>0</v>
      </c>
      <c r="V81" s="83">
        <f t="shared" si="14"/>
        <v>0</v>
      </c>
      <c r="W81" s="83">
        <f t="shared" si="14"/>
        <v>0</v>
      </c>
      <c r="X81" s="83">
        <f t="shared" si="14"/>
        <v>0</v>
      </c>
      <c r="Y81" s="83">
        <f t="shared" si="14"/>
        <v>0</v>
      </c>
      <c r="Z81" s="83">
        <f t="shared" si="14"/>
        <v>0</v>
      </c>
      <c r="AA81" s="83">
        <f t="shared" si="14"/>
        <v>0</v>
      </c>
      <c r="AB81" s="83">
        <f t="shared" si="14"/>
        <v>0</v>
      </c>
      <c r="AC81" s="83">
        <f t="shared" si="14"/>
        <v>0</v>
      </c>
      <c r="AD81" s="83">
        <f t="shared" si="14"/>
        <v>0</v>
      </c>
      <c r="AE81" s="83">
        <f t="shared" si="14"/>
        <v>0</v>
      </c>
      <c r="AF81" s="83">
        <f t="shared" si="14"/>
        <v>0</v>
      </c>
      <c r="AG81" s="57"/>
      <c r="AH81" s="53">
        <f t="shared" si="13"/>
        <v>0</v>
      </c>
      <c r="AI81" s="54">
        <f t="shared" ref="AI81:AI97" si="15">MIN(B81:AF81)</f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61" t="s">
        <v>70</v>
      </c>
      <c r="B82" s="83">
        <f>IF(B62&lt;0,B62*-1,0)</f>
        <v>0</v>
      </c>
      <c r="C82" s="83">
        <f t="shared" ref="C82:AF82" si="16">IF(C62&lt;0,C62*-1,0)</f>
        <v>0</v>
      </c>
      <c r="D82" s="83">
        <f t="shared" si="16"/>
        <v>0</v>
      </c>
      <c r="E82" s="83">
        <f t="shared" si="16"/>
        <v>0</v>
      </c>
      <c r="F82" s="83">
        <f t="shared" si="16"/>
        <v>0</v>
      </c>
      <c r="G82" s="83">
        <f t="shared" si="16"/>
        <v>0</v>
      </c>
      <c r="H82" s="83">
        <f t="shared" si="16"/>
        <v>0</v>
      </c>
      <c r="I82" s="83">
        <f t="shared" si="16"/>
        <v>0</v>
      </c>
      <c r="J82" s="83">
        <f t="shared" si="16"/>
        <v>0</v>
      </c>
      <c r="K82" s="83">
        <f t="shared" si="16"/>
        <v>0</v>
      </c>
      <c r="L82" s="83">
        <f t="shared" si="16"/>
        <v>0</v>
      </c>
      <c r="M82" s="83">
        <f t="shared" si="16"/>
        <v>0</v>
      </c>
      <c r="N82" s="83">
        <f t="shared" si="16"/>
        <v>0</v>
      </c>
      <c r="O82" s="83">
        <f t="shared" si="16"/>
        <v>0</v>
      </c>
      <c r="P82" s="83">
        <f t="shared" si="16"/>
        <v>0</v>
      </c>
      <c r="Q82" s="83">
        <f t="shared" si="16"/>
        <v>0</v>
      </c>
      <c r="R82" s="83">
        <f t="shared" si="16"/>
        <v>0</v>
      </c>
      <c r="S82" s="83">
        <f t="shared" si="16"/>
        <v>0</v>
      </c>
      <c r="T82" s="83">
        <f t="shared" si="16"/>
        <v>0</v>
      </c>
      <c r="U82" s="83">
        <f t="shared" si="16"/>
        <v>0</v>
      </c>
      <c r="V82" s="83">
        <f t="shared" si="16"/>
        <v>0</v>
      </c>
      <c r="W82" s="83">
        <f t="shared" si="16"/>
        <v>0</v>
      </c>
      <c r="X82" s="83">
        <f t="shared" si="16"/>
        <v>0</v>
      </c>
      <c r="Y82" s="83">
        <f t="shared" si="16"/>
        <v>0</v>
      </c>
      <c r="Z82" s="83">
        <f t="shared" si="16"/>
        <v>0</v>
      </c>
      <c r="AA82" s="83">
        <f t="shared" si="16"/>
        <v>0</v>
      </c>
      <c r="AB82" s="83">
        <f t="shared" si="16"/>
        <v>0</v>
      </c>
      <c r="AC82" s="83">
        <f t="shared" si="16"/>
        <v>0</v>
      </c>
      <c r="AD82" s="83">
        <f t="shared" si="16"/>
        <v>0</v>
      </c>
      <c r="AE82" s="83">
        <f t="shared" si="16"/>
        <v>0</v>
      </c>
      <c r="AF82" s="83">
        <f t="shared" si="16"/>
        <v>0</v>
      </c>
      <c r="AG82" s="62"/>
      <c r="AH82" s="53">
        <f t="shared" si="13"/>
        <v>0</v>
      </c>
      <c r="AI82" s="54">
        <f t="shared" si="15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85" t="s">
        <v>89</v>
      </c>
      <c r="B83" s="83">
        <f>IF(B65&lt;0,B65*-1,0)</f>
        <v>0</v>
      </c>
      <c r="C83" s="83">
        <f t="shared" ref="C83:AF83" si="17">IF(C65&lt;0,C65*-1,0)</f>
        <v>0</v>
      </c>
      <c r="D83" s="83">
        <f t="shared" si="17"/>
        <v>0</v>
      </c>
      <c r="E83" s="83">
        <f t="shared" si="17"/>
        <v>0</v>
      </c>
      <c r="F83" s="83">
        <f t="shared" si="17"/>
        <v>0</v>
      </c>
      <c r="G83" s="83">
        <f t="shared" si="17"/>
        <v>0</v>
      </c>
      <c r="H83" s="83">
        <f t="shared" si="17"/>
        <v>0</v>
      </c>
      <c r="I83" s="83">
        <f t="shared" si="17"/>
        <v>0</v>
      </c>
      <c r="J83" s="83">
        <f t="shared" si="17"/>
        <v>0</v>
      </c>
      <c r="K83" s="83">
        <f t="shared" si="17"/>
        <v>0</v>
      </c>
      <c r="L83" s="83">
        <f t="shared" si="17"/>
        <v>0</v>
      </c>
      <c r="M83" s="83">
        <f t="shared" si="17"/>
        <v>0</v>
      </c>
      <c r="N83" s="83">
        <f t="shared" si="17"/>
        <v>0</v>
      </c>
      <c r="O83" s="83">
        <f t="shared" si="17"/>
        <v>0</v>
      </c>
      <c r="P83" s="83">
        <f t="shared" si="17"/>
        <v>0</v>
      </c>
      <c r="Q83" s="83">
        <f t="shared" si="17"/>
        <v>0</v>
      </c>
      <c r="R83" s="83">
        <f t="shared" si="17"/>
        <v>0</v>
      </c>
      <c r="S83" s="83">
        <f t="shared" si="17"/>
        <v>0</v>
      </c>
      <c r="T83" s="83">
        <f t="shared" si="17"/>
        <v>0</v>
      </c>
      <c r="U83" s="83">
        <f t="shared" si="17"/>
        <v>0</v>
      </c>
      <c r="V83" s="83">
        <f t="shared" si="17"/>
        <v>0</v>
      </c>
      <c r="W83" s="83">
        <f t="shared" si="17"/>
        <v>0</v>
      </c>
      <c r="X83" s="83">
        <f t="shared" si="17"/>
        <v>0</v>
      </c>
      <c r="Y83" s="83">
        <f t="shared" si="17"/>
        <v>0</v>
      </c>
      <c r="Z83" s="83">
        <f t="shared" si="17"/>
        <v>0</v>
      </c>
      <c r="AA83" s="83">
        <f t="shared" si="17"/>
        <v>0</v>
      </c>
      <c r="AB83" s="83">
        <f t="shared" si="17"/>
        <v>0</v>
      </c>
      <c r="AC83" s="83">
        <f t="shared" si="17"/>
        <v>0</v>
      </c>
      <c r="AD83" s="83">
        <f t="shared" si="17"/>
        <v>0</v>
      </c>
      <c r="AE83" s="83">
        <f t="shared" si="17"/>
        <v>0</v>
      </c>
      <c r="AF83" s="83">
        <f t="shared" si="17"/>
        <v>0</v>
      </c>
      <c r="AG83" s="93"/>
      <c r="AH83" s="53">
        <f t="shared" si="13"/>
        <v>0</v>
      </c>
      <c r="AI83" s="54">
        <f t="shared" si="15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5" t="s">
        <v>90</v>
      </c>
      <c r="B84" s="83">
        <f>IF(B63&lt;0,B63*-1,0)</f>
        <v>365</v>
      </c>
      <c r="C84" s="83">
        <f t="shared" ref="C84:AF84" si="18">IF(C63&lt;0,C63*-1,0)</f>
        <v>364</v>
      </c>
      <c r="D84" s="83">
        <f t="shared" si="18"/>
        <v>363.5</v>
      </c>
      <c r="E84" s="83">
        <f t="shared" si="18"/>
        <v>350</v>
      </c>
      <c r="F84" s="83">
        <f t="shared" si="18"/>
        <v>352</v>
      </c>
      <c r="G84" s="83">
        <f t="shared" si="18"/>
        <v>367</v>
      </c>
      <c r="H84" s="83">
        <f t="shared" si="18"/>
        <v>365</v>
      </c>
      <c r="I84" s="83">
        <f t="shared" si="18"/>
        <v>376</v>
      </c>
      <c r="J84" s="83">
        <f t="shared" si="18"/>
        <v>380</v>
      </c>
      <c r="K84" s="83">
        <f t="shared" si="18"/>
        <v>345</v>
      </c>
      <c r="L84" s="83">
        <f t="shared" si="18"/>
        <v>290</v>
      </c>
      <c r="M84" s="83">
        <f t="shared" si="18"/>
        <v>290.7</v>
      </c>
      <c r="N84" s="83">
        <f t="shared" si="18"/>
        <v>269</v>
      </c>
      <c r="O84" s="83">
        <f t="shared" si="18"/>
        <v>296</v>
      </c>
      <c r="P84" s="83">
        <f t="shared" si="18"/>
        <v>259</v>
      </c>
      <c r="Q84" s="83">
        <f t="shared" si="18"/>
        <v>261</v>
      </c>
      <c r="R84" s="83">
        <f t="shared" si="18"/>
        <v>215</v>
      </c>
      <c r="S84" s="83">
        <f t="shared" si="18"/>
        <v>249.2</v>
      </c>
      <c r="T84" s="83">
        <f t="shared" si="18"/>
        <v>233.9</v>
      </c>
      <c r="U84" s="83">
        <f t="shared" si="18"/>
        <v>249</v>
      </c>
      <c r="V84" s="83">
        <f t="shared" si="18"/>
        <v>283.89999999999998</v>
      </c>
      <c r="W84" s="83">
        <f t="shared" si="18"/>
        <v>282</v>
      </c>
      <c r="X84" s="83">
        <f t="shared" si="18"/>
        <v>300</v>
      </c>
      <c r="Y84" s="83">
        <f t="shared" si="18"/>
        <v>268</v>
      </c>
      <c r="Z84" s="83">
        <f t="shared" si="18"/>
        <v>222</v>
      </c>
      <c r="AA84" s="83">
        <f t="shared" si="18"/>
        <v>189.4</v>
      </c>
      <c r="AB84" s="83">
        <f t="shared" si="18"/>
        <v>194</v>
      </c>
      <c r="AC84" s="83">
        <f t="shared" si="18"/>
        <v>250</v>
      </c>
      <c r="AD84" s="83">
        <f t="shared" si="18"/>
        <v>263</v>
      </c>
      <c r="AE84" s="83">
        <f t="shared" si="18"/>
        <v>310</v>
      </c>
      <c r="AF84" s="83">
        <f t="shared" si="18"/>
        <v>320</v>
      </c>
      <c r="AG84" s="93"/>
      <c r="AH84" s="53">
        <f t="shared" si="13"/>
        <v>380</v>
      </c>
      <c r="AI84" s="54">
        <f t="shared" si="15"/>
        <v>189.4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85" t="s">
        <v>69</v>
      </c>
      <c r="B85" s="83">
        <f>IF(B61&lt;0,B61*-1,0)</f>
        <v>0</v>
      </c>
      <c r="C85" s="83">
        <f t="shared" ref="C85:AF85" si="19">IF(C61&lt;0,C61*-1,0)</f>
        <v>0</v>
      </c>
      <c r="D85" s="83">
        <f t="shared" si="19"/>
        <v>0</v>
      </c>
      <c r="E85" s="83">
        <f t="shared" si="19"/>
        <v>0</v>
      </c>
      <c r="F85" s="83">
        <f t="shared" si="19"/>
        <v>0</v>
      </c>
      <c r="G85" s="83">
        <f t="shared" si="19"/>
        <v>0</v>
      </c>
      <c r="H85" s="83">
        <f t="shared" si="19"/>
        <v>0</v>
      </c>
      <c r="I85" s="83">
        <f t="shared" si="19"/>
        <v>0</v>
      </c>
      <c r="J85" s="83">
        <f t="shared" si="19"/>
        <v>0</v>
      </c>
      <c r="K85" s="83">
        <f t="shared" si="19"/>
        <v>0</v>
      </c>
      <c r="L85" s="83">
        <f t="shared" si="19"/>
        <v>0</v>
      </c>
      <c r="M85" s="83">
        <f t="shared" si="19"/>
        <v>0</v>
      </c>
      <c r="N85" s="83">
        <f t="shared" si="19"/>
        <v>0</v>
      </c>
      <c r="O85" s="83">
        <f t="shared" si="19"/>
        <v>0</v>
      </c>
      <c r="P85" s="83">
        <f t="shared" si="19"/>
        <v>0</v>
      </c>
      <c r="Q85" s="83">
        <f t="shared" si="19"/>
        <v>0</v>
      </c>
      <c r="R85" s="83">
        <f t="shared" si="19"/>
        <v>0</v>
      </c>
      <c r="S85" s="83">
        <f t="shared" si="19"/>
        <v>0</v>
      </c>
      <c r="T85" s="83">
        <f t="shared" si="19"/>
        <v>0</v>
      </c>
      <c r="U85" s="83">
        <f t="shared" si="19"/>
        <v>0</v>
      </c>
      <c r="V85" s="83">
        <f t="shared" si="19"/>
        <v>0</v>
      </c>
      <c r="W85" s="83">
        <f t="shared" si="19"/>
        <v>0</v>
      </c>
      <c r="X85" s="83">
        <f t="shared" si="19"/>
        <v>0</v>
      </c>
      <c r="Y85" s="83">
        <f t="shared" si="19"/>
        <v>0</v>
      </c>
      <c r="Z85" s="83">
        <f t="shared" si="19"/>
        <v>0</v>
      </c>
      <c r="AA85" s="83">
        <f t="shared" si="19"/>
        <v>0</v>
      </c>
      <c r="AB85" s="83">
        <f t="shared" si="19"/>
        <v>0</v>
      </c>
      <c r="AC85" s="83">
        <f t="shared" si="19"/>
        <v>0</v>
      </c>
      <c r="AD85" s="83">
        <f t="shared" si="19"/>
        <v>0</v>
      </c>
      <c r="AE85" s="83">
        <f t="shared" si="19"/>
        <v>0</v>
      </c>
      <c r="AF85" s="83">
        <f t="shared" si="19"/>
        <v>0</v>
      </c>
      <c r="AG85" s="93"/>
      <c r="AH85" s="53">
        <f t="shared" si="13"/>
        <v>0</v>
      </c>
      <c r="AI85" s="54">
        <f t="shared" si="15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ht="15.75" thickBot="1" x14ac:dyDescent="0.3">
      <c r="A86" s="85" t="s">
        <v>91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>
        <v>0</v>
      </c>
      <c r="AA86" s="86">
        <v>0</v>
      </c>
      <c r="AB86" s="86">
        <v>0</v>
      </c>
      <c r="AC86" s="86"/>
      <c r="AD86" s="86"/>
      <c r="AE86" s="86"/>
      <c r="AF86" s="86"/>
      <c r="AG86" s="87"/>
      <c r="AH86" s="53">
        <f t="shared" si="13"/>
        <v>0</v>
      </c>
      <c r="AI86" s="54">
        <f t="shared" si="15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ht="15.75" thickBot="1" x14ac:dyDescent="0.3">
      <c r="A87" s="94" t="s">
        <v>92</v>
      </c>
      <c r="B87" s="68">
        <f>SUM(B81:B86)</f>
        <v>365</v>
      </c>
      <c r="C87" s="68">
        <f t="shared" ref="C87:AF87" si="20">SUM(C81:C86)</f>
        <v>364</v>
      </c>
      <c r="D87" s="68">
        <f t="shared" si="20"/>
        <v>363.5</v>
      </c>
      <c r="E87" s="68">
        <f t="shared" si="20"/>
        <v>350</v>
      </c>
      <c r="F87" s="68">
        <f t="shared" si="20"/>
        <v>352</v>
      </c>
      <c r="G87" s="68">
        <f t="shared" si="20"/>
        <v>367</v>
      </c>
      <c r="H87" s="68">
        <f t="shared" si="20"/>
        <v>365</v>
      </c>
      <c r="I87" s="68">
        <f t="shared" si="20"/>
        <v>376</v>
      </c>
      <c r="J87" s="68">
        <f t="shared" si="20"/>
        <v>380</v>
      </c>
      <c r="K87" s="68">
        <f t="shared" si="20"/>
        <v>345</v>
      </c>
      <c r="L87" s="68">
        <f t="shared" si="20"/>
        <v>290</v>
      </c>
      <c r="M87" s="68">
        <f t="shared" si="20"/>
        <v>290.7</v>
      </c>
      <c r="N87" s="68">
        <f t="shared" si="20"/>
        <v>269</v>
      </c>
      <c r="O87" s="68">
        <f t="shared" si="20"/>
        <v>296</v>
      </c>
      <c r="P87" s="68">
        <f t="shared" si="20"/>
        <v>259</v>
      </c>
      <c r="Q87" s="68">
        <f t="shared" si="20"/>
        <v>261</v>
      </c>
      <c r="R87" s="68">
        <f t="shared" si="20"/>
        <v>215</v>
      </c>
      <c r="S87" s="68">
        <f t="shared" si="20"/>
        <v>249.2</v>
      </c>
      <c r="T87" s="68">
        <f t="shared" si="20"/>
        <v>233.9</v>
      </c>
      <c r="U87" s="68">
        <f t="shared" si="20"/>
        <v>249</v>
      </c>
      <c r="V87" s="68">
        <f t="shared" si="20"/>
        <v>283.89999999999998</v>
      </c>
      <c r="W87" s="68">
        <f t="shared" si="20"/>
        <v>282</v>
      </c>
      <c r="X87" s="68">
        <f t="shared" si="20"/>
        <v>300</v>
      </c>
      <c r="Y87" s="68">
        <f t="shared" si="20"/>
        <v>268</v>
      </c>
      <c r="Z87" s="68">
        <f t="shared" si="20"/>
        <v>222</v>
      </c>
      <c r="AA87" s="68">
        <f t="shared" si="20"/>
        <v>189.4</v>
      </c>
      <c r="AB87" s="68">
        <f t="shared" si="20"/>
        <v>194</v>
      </c>
      <c r="AC87" s="68">
        <f t="shared" si="20"/>
        <v>250</v>
      </c>
      <c r="AD87" s="68">
        <f t="shared" si="20"/>
        <v>263</v>
      </c>
      <c r="AE87" s="68">
        <f t="shared" si="20"/>
        <v>310</v>
      </c>
      <c r="AF87" s="68">
        <f t="shared" si="20"/>
        <v>320</v>
      </c>
      <c r="AG87" s="88"/>
      <c r="AH87" s="53">
        <f t="shared" si="13"/>
        <v>380</v>
      </c>
      <c r="AI87" s="54">
        <f t="shared" si="15"/>
        <v>189.4</v>
      </c>
      <c r="AK87" s="55"/>
    </row>
    <row r="88" spans="1:88" s="1" customFormat="1" ht="15.75" thickBot="1" x14ac:dyDescent="0.3">
      <c r="A88" s="81" t="s">
        <v>93</v>
      </c>
      <c r="B88" s="68">
        <f>B72-B87</f>
        <v>-290.8</v>
      </c>
      <c r="C88" s="68">
        <f t="shared" ref="C88:AF88" si="21">C72-C87</f>
        <v>-316.89999999999998</v>
      </c>
      <c r="D88" s="68">
        <f t="shared" si="21"/>
        <v>-319.5</v>
      </c>
      <c r="E88" s="68">
        <f t="shared" si="21"/>
        <v>-322</v>
      </c>
      <c r="F88" s="68">
        <f t="shared" si="21"/>
        <v>-328</v>
      </c>
      <c r="G88" s="68">
        <f t="shared" si="21"/>
        <v>-345</v>
      </c>
      <c r="H88" s="68">
        <f t="shared" si="21"/>
        <v>-346</v>
      </c>
      <c r="I88" s="68">
        <f t="shared" si="21"/>
        <v>-368</v>
      </c>
      <c r="J88" s="68">
        <f t="shared" si="21"/>
        <v>-331</v>
      </c>
      <c r="K88" s="68">
        <f t="shared" si="21"/>
        <v>-300</v>
      </c>
      <c r="L88" s="68">
        <f t="shared" si="21"/>
        <v>-236.6</v>
      </c>
      <c r="M88" s="68">
        <f t="shared" si="21"/>
        <v>-245.7</v>
      </c>
      <c r="N88" s="68">
        <f t="shared" si="21"/>
        <v>-199.2</v>
      </c>
      <c r="O88" s="68">
        <f t="shared" si="21"/>
        <v>-228</v>
      </c>
      <c r="P88" s="68">
        <f t="shared" si="21"/>
        <v>-188.1</v>
      </c>
      <c r="Q88" s="68">
        <f t="shared" si="21"/>
        <v>-180</v>
      </c>
      <c r="R88" s="68">
        <f t="shared" si="21"/>
        <v>-142.69999999999999</v>
      </c>
      <c r="S88" s="68">
        <f t="shared" si="21"/>
        <v>-176.1</v>
      </c>
      <c r="T88" s="68">
        <f t="shared" si="21"/>
        <v>-160.4</v>
      </c>
      <c r="U88" s="68">
        <f t="shared" si="21"/>
        <v>-181.2</v>
      </c>
      <c r="V88" s="68">
        <f t="shared" si="21"/>
        <v>-217.89999999999998</v>
      </c>
      <c r="W88" s="68">
        <f t="shared" si="21"/>
        <v>-218.5</v>
      </c>
      <c r="X88" s="68">
        <f t="shared" si="21"/>
        <v>-241.3</v>
      </c>
      <c r="Y88" s="68">
        <f t="shared" si="21"/>
        <v>-211.2</v>
      </c>
      <c r="Z88" s="68">
        <f t="shared" si="21"/>
        <v>-172.5</v>
      </c>
      <c r="AA88" s="68">
        <f t="shared" si="21"/>
        <v>-116.60000000000001</v>
      </c>
      <c r="AB88" s="68">
        <f t="shared" si="21"/>
        <v>-114.6</v>
      </c>
      <c r="AC88" s="68">
        <f t="shared" si="21"/>
        <v>-168</v>
      </c>
      <c r="AD88" s="68">
        <f t="shared" si="21"/>
        <v>-193</v>
      </c>
      <c r="AE88" s="68">
        <f t="shared" si="21"/>
        <v>-216</v>
      </c>
      <c r="AF88" s="68">
        <f t="shared" si="21"/>
        <v>-258</v>
      </c>
      <c r="AG88" s="88"/>
      <c r="AH88" s="53">
        <f t="shared" si="13"/>
        <v>-114.6</v>
      </c>
      <c r="AI88" s="54">
        <f t="shared" si="15"/>
        <v>-368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5" t="s">
        <v>94</v>
      </c>
      <c r="B89" s="96">
        <v>50</v>
      </c>
      <c r="C89" s="96">
        <v>49.984000000000002</v>
      </c>
      <c r="D89" s="96">
        <v>49.970999999999997</v>
      </c>
      <c r="E89" s="96">
        <v>49.985999999999997</v>
      </c>
      <c r="F89" s="96">
        <v>50.026000000000003</v>
      </c>
      <c r="G89" s="96">
        <v>50.033999999999999</v>
      </c>
      <c r="H89" s="96">
        <v>50.014000000000003</v>
      </c>
      <c r="I89" s="96">
        <v>50.018000000000001</v>
      </c>
      <c r="J89" s="96">
        <v>50.055999999999997</v>
      </c>
      <c r="K89" s="96">
        <v>50.012</v>
      </c>
      <c r="L89" s="96">
        <v>50.033999999999999</v>
      </c>
      <c r="M89" s="96">
        <v>50.052999999999997</v>
      </c>
      <c r="N89" s="96">
        <v>50.061999999999998</v>
      </c>
      <c r="O89" s="96">
        <v>49.895000000000003</v>
      </c>
      <c r="P89" s="96">
        <v>49.997999999999998</v>
      </c>
      <c r="Q89" s="96">
        <v>49.914999999999999</v>
      </c>
      <c r="R89" s="96">
        <v>49.896000000000001</v>
      </c>
      <c r="S89" s="96">
        <v>49.951999999999998</v>
      </c>
      <c r="T89" s="96">
        <v>50.024000000000001</v>
      </c>
      <c r="U89" s="96">
        <v>50.015000000000001</v>
      </c>
      <c r="V89" s="96">
        <v>50.036999999999999</v>
      </c>
      <c r="W89" s="96">
        <v>49.98</v>
      </c>
      <c r="X89" s="96">
        <v>50.015000000000001</v>
      </c>
      <c r="Y89" s="96">
        <v>50.005000000000003</v>
      </c>
      <c r="Z89" s="96">
        <v>49.994999999999997</v>
      </c>
      <c r="AA89" s="96">
        <v>49.92</v>
      </c>
      <c r="AB89" s="96">
        <v>49.987000000000002</v>
      </c>
      <c r="AC89" s="96">
        <v>49.987000000000002</v>
      </c>
      <c r="AD89" s="96">
        <v>50.034999999999997</v>
      </c>
      <c r="AE89" s="96">
        <v>50.05</v>
      </c>
      <c r="AF89" s="96">
        <v>50.01</v>
      </c>
      <c r="AG89" s="97"/>
      <c r="AH89" s="53">
        <f t="shared" si="13"/>
        <v>50.061999999999998</v>
      </c>
      <c r="AI89" s="54">
        <f t="shared" si="15"/>
        <v>49.895000000000003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2">
        <v>122.2</v>
      </c>
      <c r="C90" s="72">
        <v>123.4</v>
      </c>
      <c r="D90" s="72">
        <v>124.5</v>
      </c>
      <c r="E90" s="72">
        <v>123.5</v>
      </c>
      <c r="F90" s="72">
        <v>123.5</v>
      </c>
      <c r="G90" s="72">
        <v>123.6</v>
      </c>
      <c r="H90" s="72">
        <v>123.6</v>
      </c>
      <c r="I90" s="72">
        <v>124.6</v>
      </c>
      <c r="J90" s="72">
        <v>123.2</v>
      </c>
      <c r="K90" s="72">
        <v>123.6</v>
      </c>
      <c r="L90" s="72">
        <v>122.3</v>
      </c>
      <c r="M90" s="72">
        <v>122.8</v>
      </c>
      <c r="N90" s="72">
        <v>121.5</v>
      </c>
      <c r="O90" s="72">
        <v>122.1</v>
      </c>
      <c r="P90" s="72">
        <v>122.2</v>
      </c>
      <c r="Q90" s="72">
        <v>122.5</v>
      </c>
      <c r="R90" s="72">
        <v>122.4</v>
      </c>
      <c r="S90" s="72">
        <v>122</v>
      </c>
      <c r="T90" s="72">
        <v>122.3</v>
      </c>
      <c r="U90" s="72">
        <v>122.3</v>
      </c>
      <c r="V90" s="72">
        <v>122.3</v>
      </c>
      <c r="W90" s="72">
        <v>122.3</v>
      </c>
      <c r="X90" s="72">
        <v>122.8</v>
      </c>
      <c r="Y90" s="72">
        <v>124.8</v>
      </c>
      <c r="Z90" s="72">
        <v>124.8</v>
      </c>
      <c r="AA90" s="72">
        <v>126</v>
      </c>
      <c r="AB90" s="72">
        <v>125.1</v>
      </c>
      <c r="AC90" s="72">
        <v>125.1</v>
      </c>
      <c r="AD90" s="72">
        <v>124.5</v>
      </c>
      <c r="AE90" s="72">
        <v>123</v>
      </c>
      <c r="AF90" s="72">
        <v>123</v>
      </c>
      <c r="AG90" s="99"/>
      <c r="AH90" s="53">
        <f t="shared" si="13"/>
        <v>126</v>
      </c>
      <c r="AI90" s="54">
        <f t="shared" si="15"/>
        <v>121.5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s="1" customFormat="1" x14ac:dyDescent="0.25">
      <c r="A91" s="98" t="s">
        <v>96</v>
      </c>
      <c r="B91" s="72">
        <v>128</v>
      </c>
      <c r="C91" s="72">
        <v>128.80000000000001</v>
      </c>
      <c r="D91" s="72">
        <v>129.6</v>
      </c>
      <c r="E91" s="72">
        <v>129.19999999999999</v>
      </c>
      <c r="F91" s="72">
        <v>129.5</v>
      </c>
      <c r="G91" s="72">
        <v>129.1</v>
      </c>
      <c r="H91" s="72">
        <v>128.80000000000001</v>
      </c>
      <c r="I91" s="72">
        <v>129.1</v>
      </c>
      <c r="J91" s="72">
        <v>127.8</v>
      </c>
      <c r="K91" s="72">
        <v>127.7</v>
      </c>
      <c r="L91" s="72">
        <v>127</v>
      </c>
      <c r="M91" s="72">
        <v>127.3</v>
      </c>
      <c r="N91" s="72">
        <v>125.8</v>
      </c>
      <c r="O91" s="72">
        <v>126.4</v>
      </c>
      <c r="P91" s="72">
        <v>126.4</v>
      </c>
      <c r="Q91" s="72">
        <v>126.5</v>
      </c>
      <c r="R91" s="72">
        <v>126.3</v>
      </c>
      <c r="S91" s="72">
        <v>126.2</v>
      </c>
      <c r="T91" s="72">
        <v>126.3</v>
      </c>
      <c r="U91" s="72">
        <v>126.3</v>
      </c>
      <c r="V91" s="72">
        <v>126.3</v>
      </c>
      <c r="W91" s="72">
        <v>126.3</v>
      </c>
      <c r="X91" s="72">
        <v>127.3</v>
      </c>
      <c r="Y91" s="72">
        <v>129.1</v>
      </c>
      <c r="Z91" s="72">
        <v>129.1</v>
      </c>
      <c r="AA91" s="72">
        <v>129.9</v>
      </c>
      <c r="AB91" s="72">
        <v>129.19999999999999</v>
      </c>
      <c r="AC91" s="72">
        <v>129.19999999999999</v>
      </c>
      <c r="AD91" s="72">
        <v>129</v>
      </c>
      <c r="AE91" s="72">
        <v>128</v>
      </c>
      <c r="AF91" s="72">
        <v>128</v>
      </c>
      <c r="AG91" s="99"/>
      <c r="AH91" s="53">
        <f t="shared" si="13"/>
        <v>129.9</v>
      </c>
      <c r="AI91" s="54">
        <f t="shared" si="15"/>
        <v>125.8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</row>
    <row r="92" spans="1:88" s="1" customFormat="1" x14ac:dyDescent="0.25">
      <c r="A92" s="98" t="s">
        <v>97</v>
      </c>
      <c r="B92" s="72">
        <v>127.5</v>
      </c>
      <c r="C92" s="72">
        <v>129</v>
      </c>
      <c r="D92" s="72">
        <v>130.69999999999999</v>
      </c>
      <c r="E92" s="72">
        <v>130.4</v>
      </c>
      <c r="F92" s="72">
        <v>131.5</v>
      </c>
      <c r="G92" s="72">
        <v>130.6</v>
      </c>
      <c r="H92" s="72">
        <v>131.69999999999999</v>
      </c>
      <c r="I92" s="72">
        <v>131.19999999999999</v>
      </c>
      <c r="J92" s="72">
        <v>129.6</v>
      </c>
      <c r="K92" s="72">
        <v>130.19999999999999</v>
      </c>
      <c r="L92" s="72">
        <v>128</v>
      </c>
      <c r="M92" s="72">
        <v>129.69999999999999</v>
      </c>
      <c r="N92" s="72">
        <v>127.6</v>
      </c>
      <c r="O92" s="72">
        <v>125.1</v>
      </c>
      <c r="P92" s="72">
        <v>120.7</v>
      </c>
      <c r="Q92" s="72">
        <v>126.9</v>
      </c>
      <c r="R92" s="72">
        <v>126.7</v>
      </c>
      <c r="S92" s="72">
        <v>129</v>
      </c>
      <c r="T92" s="72">
        <v>128.19999999999999</v>
      </c>
      <c r="U92" s="72">
        <v>128.19999999999999</v>
      </c>
      <c r="V92" s="72">
        <v>128.19999999999999</v>
      </c>
      <c r="W92" s="72">
        <v>128.19999999999999</v>
      </c>
      <c r="X92" s="72">
        <v>131.1</v>
      </c>
      <c r="Y92" s="72">
        <v>130</v>
      </c>
      <c r="Z92" s="72">
        <v>130</v>
      </c>
      <c r="AA92" s="72">
        <v>127.8</v>
      </c>
      <c r="AB92" s="72">
        <v>129.9</v>
      </c>
      <c r="AC92" s="72">
        <v>129.9</v>
      </c>
      <c r="AD92" s="72">
        <v>124</v>
      </c>
      <c r="AE92" s="72">
        <v>127</v>
      </c>
      <c r="AF92" s="72">
        <v>128</v>
      </c>
      <c r="AG92" s="99"/>
      <c r="AH92" s="53">
        <f t="shared" si="13"/>
        <v>131.69999999999999</v>
      </c>
      <c r="AI92" s="54">
        <f t="shared" si="15"/>
        <v>120.7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</row>
    <row r="93" spans="1:88" s="1" customFormat="1" x14ac:dyDescent="0.25">
      <c r="A93" s="100" t="s">
        <v>98</v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99"/>
      <c r="AH93" s="53">
        <f t="shared" si="13"/>
        <v>0</v>
      </c>
      <c r="AI93" s="54">
        <f t="shared" si="15"/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</row>
    <row r="94" spans="1:88" s="1" customFormat="1" x14ac:dyDescent="0.25">
      <c r="A94" s="100" t="s">
        <v>99</v>
      </c>
      <c r="B94" s="101">
        <v>131.19999999999999</v>
      </c>
      <c r="C94" s="101">
        <v>132.80000000000001</v>
      </c>
      <c r="D94" s="101">
        <v>133</v>
      </c>
      <c r="E94" s="101">
        <v>134.4</v>
      </c>
      <c r="F94" s="101">
        <v>133.80000000000001</v>
      </c>
      <c r="G94" s="101">
        <v>132</v>
      </c>
      <c r="H94" s="101">
        <v>133.80000000000001</v>
      </c>
      <c r="I94" s="101">
        <v>135.19999999999999</v>
      </c>
      <c r="J94" s="101">
        <v>133.5</v>
      </c>
      <c r="K94" s="101">
        <v>130</v>
      </c>
      <c r="L94" s="101">
        <v>132.80000000000001</v>
      </c>
      <c r="M94" s="101">
        <v>133.69999999999999</v>
      </c>
      <c r="N94" s="101">
        <v>131.69999999999999</v>
      </c>
      <c r="O94" s="101">
        <v>129.69999999999999</v>
      </c>
      <c r="P94" s="101">
        <v>133.6</v>
      </c>
      <c r="Q94" s="101">
        <v>133.9</v>
      </c>
      <c r="R94" s="101">
        <v>132.30000000000001</v>
      </c>
      <c r="S94" s="101">
        <v>131.69999999999999</v>
      </c>
      <c r="T94" s="101">
        <v>134.9</v>
      </c>
      <c r="U94" s="101">
        <v>132.4</v>
      </c>
      <c r="V94" s="101">
        <v>132.4</v>
      </c>
      <c r="W94" s="101">
        <v>132.4</v>
      </c>
      <c r="X94" s="101">
        <v>131.4</v>
      </c>
      <c r="Y94" s="101">
        <v>133.6</v>
      </c>
      <c r="Z94" s="101">
        <v>133.6</v>
      </c>
      <c r="AA94" s="101">
        <v>131.80000000000001</v>
      </c>
      <c r="AB94" s="101">
        <v>129.9</v>
      </c>
      <c r="AC94" s="101">
        <v>129.9</v>
      </c>
      <c r="AD94" s="101">
        <v>132</v>
      </c>
      <c r="AE94" s="101">
        <v>132</v>
      </c>
      <c r="AF94" s="101">
        <v>130</v>
      </c>
      <c r="AG94" s="102"/>
      <c r="AH94" s="53">
        <f t="shared" si="13"/>
        <v>135.19999999999999</v>
      </c>
      <c r="AI94" s="54">
        <f t="shared" si="15"/>
        <v>129.69999999999999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</row>
    <row r="95" spans="1:88" s="1" customFormat="1" x14ac:dyDescent="0.25">
      <c r="A95" s="98" t="s">
        <v>100</v>
      </c>
      <c r="B95" s="72">
        <v>127</v>
      </c>
      <c r="C95" s="72">
        <v>127.5</v>
      </c>
      <c r="D95" s="72">
        <v>128.19999999999999</v>
      </c>
      <c r="E95" s="72">
        <v>130.69999999999999</v>
      </c>
      <c r="F95" s="72">
        <v>126.2</v>
      </c>
      <c r="G95" s="72">
        <v>127.2</v>
      </c>
      <c r="H95" s="72">
        <v>129.30000000000001</v>
      </c>
      <c r="I95" s="72">
        <v>129.4</v>
      </c>
      <c r="J95" s="72">
        <v>127.2</v>
      </c>
      <c r="K95" s="72">
        <v>133.80000000000001</v>
      </c>
      <c r="L95" s="72">
        <v>127.2</v>
      </c>
      <c r="M95" s="72">
        <v>129.4</v>
      </c>
      <c r="N95" s="72">
        <v>127.1</v>
      </c>
      <c r="O95" s="72">
        <v>124.9</v>
      </c>
      <c r="P95" s="72">
        <v>130</v>
      </c>
      <c r="Q95" s="72">
        <v>132.4</v>
      </c>
      <c r="R95" s="72">
        <v>120.4</v>
      </c>
      <c r="S95" s="72">
        <v>119.6</v>
      </c>
      <c r="T95" s="72">
        <v>123.4</v>
      </c>
      <c r="U95" s="72">
        <v>119.2</v>
      </c>
      <c r="V95" s="72">
        <v>119.2</v>
      </c>
      <c r="W95" s="72">
        <v>119.2</v>
      </c>
      <c r="X95" s="72">
        <v>123.6</v>
      </c>
      <c r="Y95" s="72">
        <v>127.1</v>
      </c>
      <c r="Z95" s="72">
        <v>127.1</v>
      </c>
      <c r="AA95" s="72">
        <v>129.1</v>
      </c>
      <c r="AB95" s="72">
        <v>123.2</v>
      </c>
      <c r="AC95" s="72">
        <v>123.2</v>
      </c>
      <c r="AD95" s="72">
        <v>124</v>
      </c>
      <c r="AE95" s="72">
        <v>126</v>
      </c>
      <c r="AF95" s="72">
        <v>122</v>
      </c>
      <c r="AG95" s="99"/>
      <c r="AH95" s="53">
        <f t="shared" si="13"/>
        <v>133.80000000000001</v>
      </c>
      <c r="AI95" s="54">
        <f t="shared" si="15"/>
        <v>119.2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</row>
    <row r="96" spans="1:88" ht="15.75" thickBot="1" x14ac:dyDescent="0.3">
      <c r="A96" s="98" t="s">
        <v>101</v>
      </c>
      <c r="B96" s="103">
        <v>64.3</v>
      </c>
      <c r="C96" s="103">
        <v>65.2</v>
      </c>
      <c r="D96" s="103">
        <v>65.5</v>
      </c>
      <c r="E96" s="103">
        <v>65.2</v>
      </c>
      <c r="F96" s="103">
        <v>65.400000000000006</v>
      </c>
      <c r="G96" s="103">
        <v>65.099999999999994</v>
      </c>
      <c r="H96" s="103">
        <v>64.900000000000006</v>
      </c>
      <c r="I96" s="103">
        <v>65.099999999999994</v>
      </c>
      <c r="J96" s="103">
        <v>64.400000000000006</v>
      </c>
      <c r="K96" s="103">
        <v>64.5</v>
      </c>
      <c r="L96" s="103">
        <v>64.2</v>
      </c>
      <c r="M96" s="103">
        <v>64.3</v>
      </c>
      <c r="N96" s="103">
        <v>63.7</v>
      </c>
      <c r="O96" s="103">
        <v>63.6</v>
      </c>
      <c r="P96" s="103">
        <v>63.5</v>
      </c>
      <c r="Q96" s="103">
        <v>63.5</v>
      </c>
      <c r="R96" s="103">
        <v>63.4</v>
      </c>
      <c r="S96" s="103">
        <v>63.3</v>
      </c>
      <c r="T96" s="103">
        <v>63.3</v>
      </c>
      <c r="U96" s="103">
        <v>63.4</v>
      </c>
      <c r="V96" s="103">
        <v>63.4</v>
      </c>
      <c r="W96" s="103">
        <v>63.4</v>
      </c>
      <c r="X96" s="103">
        <v>64.3</v>
      </c>
      <c r="Y96" s="103">
        <v>64.900000000000006</v>
      </c>
      <c r="Z96" s="103">
        <v>64.900000000000006</v>
      </c>
      <c r="AA96" s="103">
        <v>65.2</v>
      </c>
      <c r="AB96" s="103">
        <v>65.5</v>
      </c>
      <c r="AC96" s="103">
        <v>65.5</v>
      </c>
      <c r="AD96" s="103">
        <v>65.2</v>
      </c>
      <c r="AE96" s="103">
        <v>65</v>
      </c>
      <c r="AF96" s="103">
        <v>65</v>
      </c>
      <c r="AG96" s="104"/>
      <c r="AH96" s="53">
        <f t="shared" si="13"/>
        <v>65.5</v>
      </c>
      <c r="AI96" s="54">
        <f t="shared" si="15"/>
        <v>63.3</v>
      </c>
    </row>
    <row r="97" spans="1:37" ht="15.75" thickBot="1" x14ac:dyDescent="0.3">
      <c r="A97" s="105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4"/>
      <c r="AH97" s="53">
        <f t="shared" si="13"/>
        <v>0</v>
      </c>
      <c r="AI97" s="54">
        <f t="shared" si="15"/>
        <v>0</v>
      </c>
    </row>
    <row r="98" spans="1:37" ht="15.75" thickBot="1" x14ac:dyDescent="0.3">
      <c r="A98" s="106" t="s">
        <v>102</v>
      </c>
      <c r="B98" s="107">
        <f>SUM(B15,B18,B21:B22,B46,B48:B49,B51,B53,B99:B102,B124,B130,B136,B145,B147,B159,B166,B169:B170,B177,B179,B181,B185:B187,B189:B191,B196,B202:B203,B205:B207,B215,B220)</f>
        <v>73.300000000000011</v>
      </c>
      <c r="C98" s="107">
        <f t="shared" ref="C98:AF98" si="22">SUM(C15,C18,C21:C22,C46,C48:C49,C51,C53,C99:C102,C124,C130,C136,C145,C147,C159,C166,C169:C170,C177,C179,C181,C185:C187,C189:C191,C196,C202:C203,C205:C207,C215,C220)</f>
        <v>46.640000000000029</v>
      </c>
      <c r="D98" s="107">
        <f t="shared" si="22"/>
        <v>42.640000000000022</v>
      </c>
      <c r="E98" s="107">
        <f t="shared" si="22"/>
        <v>48.04</v>
      </c>
      <c r="F98" s="107">
        <f t="shared" si="22"/>
        <v>59.54</v>
      </c>
      <c r="G98" s="107">
        <f t="shared" si="22"/>
        <v>57.24</v>
      </c>
      <c r="H98" s="107">
        <f t="shared" si="22"/>
        <v>81.840000000000018</v>
      </c>
      <c r="I98" s="107">
        <f t="shared" si="22"/>
        <v>114.64000000000001</v>
      </c>
      <c r="J98" s="107">
        <f t="shared" si="22"/>
        <v>133.54000000000002</v>
      </c>
      <c r="K98" s="107">
        <f t="shared" si="22"/>
        <v>165.74</v>
      </c>
      <c r="L98" s="107">
        <f t="shared" si="22"/>
        <v>183.23999999999998</v>
      </c>
      <c r="M98" s="107">
        <f t="shared" si="22"/>
        <v>204.74</v>
      </c>
      <c r="N98" s="107">
        <f t="shared" si="22"/>
        <v>189.64</v>
      </c>
      <c r="O98" s="107">
        <f t="shared" si="22"/>
        <v>197.74</v>
      </c>
      <c r="P98" s="107">
        <f t="shared" si="22"/>
        <v>203.34000000000003</v>
      </c>
      <c r="Q98" s="107">
        <f t="shared" si="22"/>
        <v>206.09999999999997</v>
      </c>
      <c r="R98" s="107">
        <f t="shared" si="22"/>
        <v>216.3</v>
      </c>
      <c r="S98" s="107">
        <f t="shared" si="22"/>
        <v>269.39999999999998</v>
      </c>
      <c r="T98" s="107">
        <f t="shared" si="22"/>
        <v>198.5</v>
      </c>
      <c r="U98" s="107">
        <f t="shared" si="22"/>
        <v>187.60000000000002</v>
      </c>
      <c r="V98" s="107">
        <f t="shared" si="22"/>
        <v>179.3</v>
      </c>
      <c r="W98" s="107">
        <f t="shared" si="22"/>
        <v>172.4</v>
      </c>
      <c r="X98" s="107">
        <f t="shared" si="22"/>
        <v>184.29999999999998</v>
      </c>
      <c r="Y98" s="107">
        <f t="shared" si="22"/>
        <v>195.2</v>
      </c>
      <c r="Z98" s="107">
        <f t="shared" si="22"/>
        <v>207.2</v>
      </c>
      <c r="AA98" s="107">
        <f t="shared" si="22"/>
        <v>228.9</v>
      </c>
      <c r="AB98" s="107">
        <f t="shared" si="22"/>
        <v>201.2</v>
      </c>
      <c r="AC98" s="107">
        <f t="shared" si="22"/>
        <v>209.5</v>
      </c>
      <c r="AD98" s="107">
        <f t="shared" si="22"/>
        <v>205</v>
      </c>
      <c r="AE98" s="107">
        <f t="shared" si="22"/>
        <v>81</v>
      </c>
      <c r="AF98" s="107">
        <f t="shared" si="22"/>
        <v>66</v>
      </c>
      <c r="AG98" s="108"/>
      <c r="AH98" s="53">
        <f>MAX(C98:AF98)</f>
        <v>269.39999999999998</v>
      </c>
      <c r="AI98" s="54">
        <f>MIN(C98:AF98)</f>
        <v>42.640000000000022</v>
      </c>
    </row>
    <row r="99" spans="1:37" x14ac:dyDescent="0.25">
      <c r="A99" s="95" t="s">
        <v>103</v>
      </c>
      <c r="B99" s="109">
        <v>21.1</v>
      </c>
      <c r="C99" s="109">
        <v>15.6</v>
      </c>
      <c r="D99" s="109">
        <v>13.4</v>
      </c>
      <c r="E99" s="109">
        <v>13.6</v>
      </c>
      <c r="F99" s="109">
        <v>14.1</v>
      </c>
      <c r="G99" s="109">
        <v>19</v>
      </c>
      <c r="H99" s="109">
        <v>20.8</v>
      </c>
      <c r="I99" s="109">
        <v>21.3</v>
      </c>
      <c r="J99" s="109">
        <v>26.9</v>
      </c>
      <c r="K99" s="109">
        <v>29.5</v>
      </c>
      <c r="L99" s="109">
        <v>27.2</v>
      </c>
      <c r="M99" s="109">
        <v>28.3</v>
      </c>
      <c r="N99" s="109">
        <v>27.1</v>
      </c>
      <c r="O99" s="109">
        <v>34.200000000000003</v>
      </c>
      <c r="P99" s="109">
        <v>29.8</v>
      </c>
      <c r="Q99" s="109">
        <v>25</v>
      </c>
      <c r="R99" s="109">
        <v>19.399999999999999</v>
      </c>
      <c r="S99" s="109">
        <v>22.5</v>
      </c>
      <c r="T99" s="109">
        <v>21.1</v>
      </c>
      <c r="U99" s="109">
        <v>26</v>
      </c>
      <c r="V99" s="109">
        <v>30.1</v>
      </c>
      <c r="W99" s="109">
        <v>31.6</v>
      </c>
      <c r="X99" s="109">
        <v>32.799999999999997</v>
      </c>
      <c r="Y99" s="109">
        <v>35.799999999999997</v>
      </c>
      <c r="Z99" s="109">
        <v>36.799999999999997</v>
      </c>
      <c r="AA99" s="109">
        <v>18.600000000000001</v>
      </c>
      <c r="AB99" s="109">
        <v>20.8</v>
      </c>
      <c r="AC99" s="109">
        <f>30+18</f>
        <v>48</v>
      </c>
      <c r="AD99" s="109">
        <f>30+17</f>
        <v>47</v>
      </c>
      <c r="AE99" s="109">
        <v>20</v>
      </c>
      <c r="AF99" s="109">
        <v>16</v>
      </c>
      <c r="AG99" s="110">
        <v>75</v>
      </c>
      <c r="AH99" s="53">
        <f t="shared" ref="AH99:AH106" si="23">IF(ABS(MAX(C99:AF99))&gt;ABS(MIN(C99:AF99)),MAX(C99:AF99),MIN(C99:AF99))</f>
        <v>48</v>
      </c>
      <c r="AI99" s="111">
        <f t="shared" ref="AI99:AI106" si="24">INDEX($C$9:$AF$9,1,MATCH(AH99,C99:AF99,0))</f>
        <v>0.85416666666666663</v>
      </c>
    </row>
    <row r="100" spans="1:37" x14ac:dyDescent="0.25">
      <c r="A100" s="98" t="s">
        <v>104</v>
      </c>
      <c r="B100" s="112">
        <v>-140.1</v>
      </c>
      <c r="C100" s="112">
        <v>-150.69999999999999</v>
      </c>
      <c r="D100" s="112">
        <v>-145.19999999999999</v>
      </c>
      <c r="E100" s="112">
        <v>-145</v>
      </c>
      <c r="F100" s="112">
        <v>-135</v>
      </c>
      <c r="G100" s="112">
        <v>-142</v>
      </c>
      <c r="H100" s="112">
        <v>-121</v>
      </c>
      <c r="I100" s="112">
        <v>-96</v>
      </c>
      <c r="J100" s="112">
        <v>-74</v>
      </c>
      <c r="K100" s="112">
        <v>-62</v>
      </c>
      <c r="L100" s="112">
        <v>-52</v>
      </c>
      <c r="M100" s="112">
        <f>-19.8-25.6</f>
        <v>-45.400000000000006</v>
      </c>
      <c r="N100" s="112">
        <f>-22.4-26.4</f>
        <v>-48.8</v>
      </c>
      <c r="O100" s="112">
        <f>-43.8-49</f>
        <v>-92.8</v>
      </c>
      <c r="P100" s="112">
        <f>-41.2-49.3</f>
        <v>-90.5</v>
      </c>
      <c r="Q100" s="112">
        <f>-40.2-49</f>
        <v>-89.2</v>
      </c>
      <c r="R100" s="112">
        <f>-37.6-45</f>
        <v>-82.6</v>
      </c>
      <c r="S100" s="112">
        <v>-35.700000000000003</v>
      </c>
      <c r="T100" s="112">
        <v>-108</v>
      </c>
      <c r="U100" s="112">
        <v>-61</v>
      </c>
      <c r="V100" s="112">
        <v>-64</v>
      </c>
      <c r="W100" s="112">
        <v>-57</v>
      </c>
      <c r="X100" s="112">
        <f>-20.5-24.3</f>
        <v>-44.8</v>
      </c>
      <c r="Y100" s="112">
        <f>-26-30.9</f>
        <v>-56.9</v>
      </c>
      <c r="Z100" s="112">
        <f>-26-30.9</f>
        <v>-56.9</v>
      </c>
      <c r="AA100" s="112">
        <v>-70.099999999999994</v>
      </c>
      <c r="AB100" s="112">
        <v>-64</v>
      </c>
      <c r="AC100" s="112">
        <f>-23-35</f>
        <v>-58</v>
      </c>
      <c r="AD100" s="112">
        <f>-27-39</f>
        <v>-66</v>
      </c>
      <c r="AE100" s="112">
        <v>-150</v>
      </c>
      <c r="AF100" s="112">
        <v>-137</v>
      </c>
      <c r="AG100" s="110">
        <v>240</v>
      </c>
      <c r="AH100" s="53">
        <f t="shared" si="23"/>
        <v>-150.69999999999999</v>
      </c>
      <c r="AI100" s="111">
        <f t="shared" si="24"/>
        <v>4.1666666666666664E-2</v>
      </c>
    </row>
    <row r="101" spans="1:37" x14ac:dyDescent="0.25">
      <c r="A101" s="98" t="s">
        <v>105</v>
      </c>
      <c r="B101" s="112">
        <v>4.9000000000000004</v>
      </c>
      <c r="C101" s="112">
        <v>-6.8</v>
      </c>
      <c r="D101" s="112">
        <v>-8.9</v>
      </c>
      <c r="E101" s="112">
        <v>-8.9</v>
      </c>
      <c r="F101" s="112">
        <v>-7.9</v>
      </c>
      <c r="G101" s="112">
        <v>-8.1</v>
      </c>
      <c r="H101" s="112">
        <v>-6.3</v>
      </c>
      <c r="I101" s="112">
        <v>1</v>
      </c>
      <c r="J101" s="112">
        <v>6.3</v>
      </c>
      <c r="K101" s="112">
        <v>9.9</v>
      </c>
      <c r="L101" s="112">
        <v>19.7</v>
      </c>
      <c r="M101" s="112">
        <v>25.5</v>
      </c>
      <c r="N101" s="112">
        <v>15</v>
      </c>
      <c r="O101" s="112">
        <v>17.399999999999999</v>
      </c>
      <c r="P101" s="112">
        <v>24</v>
      </c>
      <c r="Q101" s="112">
        <v>25.2</v>
      </c>
      <c r="R101" s="112">
        <v>24.5</v>
      </c>
      <c r="S101" s="112">
        <v>25.9</v>
      </c>
      <c r="T101" s="112">
        <v>25.9</v>
      </c>
      <c r="U101" s="112">
        <v>35.200000000000003</v>
      </c>
      <c r="V101" s="112">
        <v>26</v>
      </c>
      <c r="W101" s="112">
        <v>21.6</v>
      </c>
      <c r="X101" s="112">
        <v>20.100000000000001</v>
      </c>
      <c r="Y101" s="112">
        <v>20.2</v>
      </c>
      <c r="Z101" s="112">
        <v>20.2</v>
      </c>
      <c r="AA101" s="112">
        <v>53</v>
      </c>
      <c r="AB101" s="112">
        <v>37.200000000000003</v>
      </c>
      <c r="AC101" s="112">
        <v>45</v>
      </c>
      <c r="AD101" s="112">
        <v>45</v>
      </c>
      <c r="AE101" s="112">
        <v>32</v>
      </c>
      <c r="AF101" s="112">
        <v>8</v>
      </c>
      <c r="AG101" s="110">
        <v>60</v>
      </c>
      <c r="AH101" s="53">
        <f t="shared" si="23"/>
        <v>53</v>
      </c>
      <c r="AI101" s="111">
        <f t="shared" si="24"/>
        <v>0.8125</v>
      </c>
    </row>
    <row r="102" spans="1:37" x14ac:dyDescent="0.25">
      <c r="A102" s="113" t="s">
        <v>106</v>
      </c>
      <c r="B102" s="114">
        <v>0</v>
      </c>
      <c r="C102" s="114">
        <v>0</v>
      </c>
      <c r="D102" s="114">
        <v>0</v>
      </c>
      <c r="E102" s="114">
        <v>0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  <c r="L102" s="114">
        <v>0</v>
      </c>
      <c r="M102" s="114">
        <v>0</v>
      </c>
      <c r="N102" s="114">
        <v>0</v>
      </c>
      <c r="O102" s="114">
        <v>42.6</v>
      </c>
      <c r="P102" s="114">
        <v>43.7</v>
      </c>
      <c r="Q102" s="114">
        <v>49.7</v>
      </c>
      <c r="R102" s="114">
        <v>59.6</v>
      </c>
      <c r="S102" s="114">
        <v>61.3</v>
      </c>
      <c r="T102" s="114">
        <v>64.099999999999994</v>
      </c>
      <c r="U102" s="114">
        <v>0</v>
      </c>
      <c r="V102" s="114">
        <v>0</v>
      </c>
      <c r="W102" s="114">
        <v>0</v>
      </c>
      <c r="X102" s="114">
        <v>0</v>
      </c>
      <c r="Y102" s="114">
        <v>27.9</v>
      </c>
      <c r="Z102" s="114">
        <v>27.9</v>
      </c>
      <c r="AA102" s="114">
        <v>48.4</v>
      </c>
      <c r="AB102" s="114">
        <v>28.2</v>
      </c>
      <c r="AC102" s="114">
        <v>-4.5</v>
      </c>
      <c r="AD102" s="114">
        <v>0</v>
      </c>
      <c r="AE102" s="114">
        <v>0</v>
      </c>
      <c r="AF102" s="114">
        <v>0</v>
      </c>
      <c r="AG102" s="115">
        <v>120</v>
      </c>
      <c r="AH102" s="53">
        <f t="shared" si="23"/>
        <v>64.099999999999994</v>
      </c>
      <c r="AI102" s="111">
        <f t="shared" si="24"/>
        <v>0.625</v>
      </c>
    </row>
    <row r="103" spans="1:37" x14ac:dyDescent="0.25">
      <c r="A103" s="113" t="s">
        <v>107</v>
      </c>
      <c r="B103" s="114">
        <v>50.1</v>
      </c>
      <c r="C103" s="114">
        <v>36.6</v>
      </c>
      <c r="D103" s="114">
        <v>43.1</v>
      </c>
      <c r="E103" s="114">
        <v>46.1</v>
      </c>
      <c r="F103" s="114">
        <v>49</v>
      </c>
      <c r="G103" s="114">
        <v>40</v>
      </c>
      <c r="H103" s="114">
        <v>54</v>
      </c>
      <c r="I103" s="114">
        <v>64</v>
      </c>
      <c r="J103" s="114">
        <v>71</v>
      </c>
      <c r="K103" s="114">
        <v>75</v>
      </c>
      <c r="L103" s="114">
        <v>91</v>
      </c>
      <c r="M103" s="114">
        <v>85</v>
      </c>
      <c r="N103" s="114">
        <v>95.1</v>
      </c>
      <c r="O103" s="114">
        <v>46</v>
      </c>
      <c r="P103" s="114">
        <v>47</v>
      </c>
      <c r="Q103" s="114">
        <v>51.3</v>
      </c>
      <c r="R103" s="114">
        <v>58</v>
      </c>
      <c r="S103" s="114">
        <v>60.4</v>
      </c>
      <c r="T103" s="114">
        <v>63.8</v>
      </c>
      <c r="U103" s="114">
        <v>83.4</v>
      </c>
      <c r="V103" s="114">
        <v>79.3</v>
      </c>
      <c r="W103" s="114">
        <v>86.5</v>
      </c>
      <c r="X103" s="114">
        <v>82.9</v>
      </c>
      <c r="Y103" s="114">
        <v>71.2</v>
      </c>
      <c r="Z103" s="114">
        <v>71.2</v>
      </c>
      <c r="AA103" s="114">
        <v>81.900000000000006</v>
      </c>
      <c r="AB103" s="114">
        <v>95.2</v>
      </c>
      <c r="AC103" s="114">
        <v>66</v>
      </c>
      <c r="AD103" s="114">
        <v>64</v>
      </c>
      <c r="AE103" s="114">
        <v>39</v>
      </c>
      <c r="AF103" s="114">
        <v>47</v>
      </c>
      <c r="AG103" s="115"/>
      <c r="AH103" s="53">
        <f t="shared" si="23"/>
        <v>95.2</v>
      </c>
      <c r="AI103" s="111">
        <f t="shared" si="24"/>
        <v>0.83333333333333337</v>
      </c>
    </row>
    <row r="104" spans="1:37" x14ac:dyDescent="0.25">
      <c r="A104" s="113" t="s">
        <v>108</v>
      </c>
      <c r="B104" s="114">
        <v>25.1</v>
      </c>
      <c r="C104" s="114">
        <v>45.6</v>
      </c>
      <c r="D104" s="114">
        <v>53</v>
      </c>
      <c r="E104" s="114">
        <v>56.2</v>
      </c>
      <c r="F104" s="114">
        <v>57</v>
      </c>
      <c r="G104" s="114">
        <v>37</v>
      </c>
      <c r="H104" s="114">
        <v>37</v>
      </c>
      <c r="I104" s="114">
        <v>36</v>
      </c>
      <c r="J104" s="114">
        <v>0</v>
      </c>
      <c r="K104" s="114">
        <v>3.3</v>
      </c>
      <c r="L104" s="114">
        <v>13.6</v>
      </c>
      <c r="M104" s="114">
        <v>3.5</v>
      </c>
      <c r="N104" s="114">
        <v>3.6</v>
      </c>
      <c r="O104" s="114">
        <v>10.199999999999999</v>
      </c>
      <c r="P104" s="114">
        <v>20.399999999999999</v>
      </c>
      <c r="Q104" s="114">
        <v>15.7</v>
      </c>
      <c r="R104" s="114">
        <v>31.2</v>
      </c>
      <c r="S104" s="114">
        <v>25.2</v>
      </c>
      <c r="T104" s="114">
        <v>32</v>
      </c>
      <c r="U104" s="114">
        <v>21.8</v>
      </c>
      <c r="V104" s="114">
        <v>15.2</v>
      </c>
      <c r="W104" s="114">
        <v>14.7</v>
      </c>
      <c r="X104" s="114">
        <v>11.7</v>
      </c>
      <c r="Y104" s="114">
        <v>-4.2</v>
      </c>
      <c r="Z104" s="114">
        <v>-4.2</v>
      </c>
      <c r="AA104" s="114">
        <v>67</v>
      </c>
      <c r="AB104" s="114">
        <v>54</v>
      </c>
      <c r="AC104" s="114">
        <v>2</v>
      </c>
      <c r="AD104" s="114">
        <v>53</v>
      </c>
      <c r="AE104" s="114">
        <v>36</v>
      </c>
      <c r="AF104" s="114">
        <v>45</v>
      </c>
      <c r="AG104" s="116"/>
      <c r="AH104" s="53">
        <f t="shared" si="23"/>
        <v>67</v>
      </c>
      <c r="AI104" s="111">
        <f t="shared" si="24"/>
        <v>0.8125</v>
      </c>
    </row>
    <row r="105" spans="1:37" x14ac:dyDescent="0.25">
      <c r="A105" s="117" t="s">
        <v>109</v>
      </c>
      <c r="B105" s="101">
        <v>87.1</v>
      </c>
      <c r="C105" s="101">
        <v>885</v>
      </c>
      <c r="D105" s="101">
        <v>89.7</v>
      </c>
      <c r="E105" s="101">
        <v>91.4</v>
      </c>
      <c r="F105" s="101">
        <v>93</v>
      </c>
      <c r="G105" s="101">
        <v>9</v>
      </c>
      <c r="H105" s="101">
        <v>95</v>
      </c>
      <c r="I105" s="101">
        <v>99</v>
      </c>
      <c r="J105" s="101">
        <v>98</v>
      </c>
      <c r="K105" s="101">
        <v>93</v>
      </c>
      <c r="L105" s="101">
        <v>86</v>
      </c>
      <c r="M105" s="101">
        <v>73.599999999999994</v>
      </c>
      <c r="N105" s="101">
        <v>84.5</v>
      </c>
      <c r="O105" s="101">
        <v>83.4</v>
      </c>
      <c r="P105" s="101">
        <v>67.099999999999994</v>
      </c>
      <c r="Q105" s="101">
        <v>75</v>
      </c>
      <c r="R105" s="101">
        <v>87</v>
      </c>
      <c r="S105" s="101">
        <v>88.7</v>
      </c>
      <c r="T105" s="101">
        <v>87.1</v>
      </c>
      <c r="U105" s="101">
        <v>87.5</v>
      </c>
      <c r="V105" s="101">
        <v>90.4</v>
      </c>
      <c r="W105" s="101">
        <v>89.3</v>
      </c>
      <c r="X105" s="101">
        <v>87.8</v>
      </c>
      <c r="Y105" s="101">
        <v>84.5</v>
      </c>
      <c r="Z105" s="101">
        <v>84.5</v>
      </c>
      <c r="AA105" s="101">
        <v>82.2</v>
      </c>
      <c r="AB105" s="101">
        <v>78.5</v>
      </c>
      <c r="AC105" s="101">
        <v>83</v>
      </c>
      <c r="AD105" s="101">
        <v>84</v>
      </c>
      <c r="AE105" s="101">
        <v>86</v>
      </c>
      <c r="AF105" s="101">
        <v>92</v>
      </c>
      <c r="AG105" s="116"/>
      <c r="AH105" s="53">
        <f t="shared" si="23"/>
        <v>885</v>
      </c>
      <c r="AI105" s="111">
        <f t="shared" si="24"/>
        <v>4.1666666666666664E-2</v>
      </c>
    </row>
    <row r="106" spans="1:37" ht="15.75" thickBot="1" x14ac:dyDescent="0.3">
      <c r="A106" s="117" t="s">
        <v>110</v>
      </c>
      <c r="B106" s="101">
        <v>102.3</v>
      </c>
      <c r="C106" s="101">
        <v>98.5</v>
      </c>
      <c r="D106" s="101">
        <v>92.3</v>
      </c>
      <c r="E106" s="101">
        <v>93.5</v>
      </c>
      <c r="F106" s="101">
        <v>90</v>
      </c>
      <c r="G106" s="101">
        <v>89</v>
      </c>
      <c r="H106" s="101">
        <v>80</v>
      </c>
      <c r="I106" s="101">
        <v>62</v>
      </c>
      <c r="J106" s="101">
        <v>53</v>
      </c>
      <c r="K106" s="101">
        <v>42</v>
      </c>
      <c r="L106" s="101">
        <v>34</v>
      </c>
      <c r="M106" s="101">
        <v>41.4</v>
      </c>
      <c r="N106" s="101">
        <v>35.200000000000003</v>
      </c>
      <c r="O106" s="101">
        <v>69.5</v>
      </c>
      <c r="P106" s="101">
        <v>73.599999999999994</v>
      </c>
      <c r="Q106" s="101">
        <v>66.7</v>
      </c>
      <c r="R106" s="101">
        <v>58.1</v>
      </c>
      <c r="S106" s="101">
        <v>60.5</v>
      </c>
      <c r="T106" s="101">
        <v>60.8</v>
      </c>
      <c r="U106" s="101">
        <v>36.200000000000003</v>
      </c>
      <c r="V106" s="101">
        <v>40.700000000000003</v>
      </c>
      <c r="W106" s="101">
        <v>34.5</v>
      </c>
      <c r="X106" s="101">
        <v>31.6</v>
      </c>
      <c r="Y106" s="101">
        <v>44</v>
      </c>
      <c r="Z106" s="101">
        <v>44</v>
      </c>
      <c r="AA106" s="101">
        <v>43.4</v>
      </c>
      <c r="AB106" s="101">
        <v>34.1</v>
      </c>
      <c r="AC106" s="101">
        <v>60</v>
      </c>
      <c r="AD106" s="101">
        <v>66</v>
      </c>
      <c r="AE106" s="101">
        <v>95</v>
      </c>
      <c r="AF106" s="101">
        <v>86</v>
      </c>
      <c r="AG106" s="116"/>
      <c r="AH106" s="53">
        <f t="shared" si="23"/>
        <v>98.5</v>
      </c>
      <c r="AI106" s="111">
        <f t="shared" si="24"/>
        <v>4.1666666666666664E-2</v>
      </c>
    </row>
    <row r="107" spans="1:37" ht="15.75" thickBot="1" x14ac:dyDescent="0.3">
      <c r="A107" s="118" t="s">
        <v>111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20"/>
      <c r="AH107" s="121"/>
      <c r="AI107" s="54"/>
      <c r="AK107" s="55"/>
    </row>
    <row r="108" spans="1:37" x14ac:dyDescent="0.25">
      <c r="A108" s="122" t="s">
        <v>112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5">
        <v>9.94</v>
      </c>
      <c r="AH108" s="53"/>
      <c r="AI108" s="54"/>
      <c r="AK108" s="55"/>
    </row>
    <row r="109" spans="1:37" x14ac:dyDescent="0.25">
      <c r="A109" s="98" t="s">
        <v>113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5"/>
      <c r="AH109" s="53"/>
      <c r="AI109" s="54"/>
      <c r="AK109" s="55"/>
    </row>
    <row r="110" spans="1:37" x14ac:dyDescent="0.25">
      <c r="A110" s="98" t="s">
        <v>114</v>
      </c>
      <c r="B110" s="123"/>
      <c r="C110" s="124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5"/>
      <c r="AH110" s="53"/>
      <c r="AI110" s="54"/>
      <c r="AK110" s="55"/>
    </row>
    <row r="111" spans="1:37" x14ac:dyDescent="0.25">
      <c r="A111" s="98" t="s">
        <v>115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5"/>
      <c r="AH111" s="53"/>
      <c r="AI111" s="54"/>
      <c r="AK111" s="55"/>
    </row>
    <row r="112" spans="1:37" x14ac:dyDescent="0.25">
      <c r="A112" s="98" t="s">
        <v>116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5"/>
      <c r="AH112" s="53"/>
      <c r="AI112" s="54"/>
      <c r="AK112" s="55"/>
    </row>
    <row r="113" spans="1:37" x14ac:dyDescent="0.25">
      <c r="A113" s="98" t="s">
        <v>117</v>
      </c>
      <c r="B113" s="123"/>
      <c r="C113" s="124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5"/>
      <c r="AH113" s="53"/>
      <c r="AI113" s="54"/>
      <c r="AK113" s="55"/>
    </row>
    <row r="114" spans="1:37" x14ac:dyDescent="0.25">
      <c r="A114" s="98" t="s">
        <v>118</v>
      </c>
      <c r="B114" s="123"/>
      <c r="C114" s="124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5"/>
      <c r="AH114" s="53"/>
      <c r="AI114" s="54"/>
      <c r="AK114" s="55"/>
    </row>
    <row r="115" spans="1:37" x14ac:dyDescent="0.25">
      <c r="A115" s="98" t="s">
        <v>119</v>
      </c>
      <c r="B115" s="123"/>
      <c r="C115" s="124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5"/>
      <c r="AH115" s="53"/>
      <c r="AI115" s="54"/>
      <c r="AK115" s="55"/>
    </row>
    <row r="116" spans="1:37" x14ac:dyDescent="0.25">
      <c r="A116" s="98" t="s">
        <v>120</v>
      </c>
      <c r="B116" s="123"/>
      <c r="C116" s="124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5"/>
      <c r="AH116" s="53"/>
      <c r="AI116" s="54"/>
      <c r="AK116" s="55"/>
    </row>
    <row r="117" spans="1:37" x14ac:dyDescent="0.25">
      <c r="A117" s="98" t="s">
        <v>121</v>
      </c>
      <c r="B117" s="123"/>
      <c r="C117" s="124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5"/>
      <c r="AH117" s="53"/>
      <c r="AI117" s="54"/>
      <c r="AK117" s="55"/>
    </row>
    <row r="118" spans="1:37" x14ac:dyDescent="0.25">
      <c r="A118" s="98" t="s">
        <v>122</v>
      </c>
      <c r="B118" s="123"/>
      <c r="C118" s="124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5"/>
      <c r="AH118" s="53"/>
      <c r="AI118" s="54"/>
      <c r="AK118" s="55"/>
    </row>
    <row r="119" spans="1:37" x14ac:dyDescent="0.25">
      <c r="A119" s="98" t="s">
        <v>123</v>
      </c>
      <c r="B119" s="123"/>
      <c r="C119" s="124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5"/>
      <c r="AH119" s="53"/>
      <c r="AI119" s="54"/>
      <c r="AK119" s="55"/>
    </row>
    <row r="120" spans="1:37" x14ac:dyDescent="0.25">
      <c r="A120" s="98" t="s">
        <v>124</v>
      </c>
      <c r="B120" s="123"/>
      <c r="C120" s="124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5"/>
      <c r="AH120" s="53"/>
      <c r="AI120" s="54"/>
      <c r="AK120" s="55"/>
    </row>
    <row r="121" spans="1:37" x14ac:dyDescent="0.25">
      <c r="A121" s="98" t="s">
        <v>125</v>
      </c>
      <c r="B121" s="123"/>
      <c r="C121" s="124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5"/>
      <c r="AH121" s="53"/>
      <c r="AI121" s="54"/>
      <c r="AK121" s="55"/>
    </row>
    <row r="122" spans="1:37" x14ac:dyDescent="0.25">
      <c r="A122" s="98" t="s">
        <v>126</v>
      </c>
      <c r="B122" s="123"/>
      <c r="C122" s="124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5"/>
      <c r="AH122" s="53"/>
      <c r="AI122" s="54"/>
      <c r="AK122" s="55"/>
    </row>
    <row r="123" spans="1:37" x14ac:dyDescent="0.25">
      <c r="A123" s="98" t="s">
        <v>127</v>
      </c>
      <c r="B123" s="123"/>
      <c r="C123" s="124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5"/>
      <c r="AH123" s="53"/>
      <c r="AI123" s="54"/>
      <c r="AK123" s="55"/>
    </row>
    <row r="124" spans="1:37" x14ac:dyDescent="0.25">
      <c r="A124" s="98" t="s">
        <v>128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>
        <v>9.9</v>
      </c>
      <c r="AH124" s="53"/>
      <c r="AI124" s="54"/>
      <c r="AK124" s="55"/>
    </row>
    <row r="125" spans="1:37" x14ac:dyDescent="0.25">
      <c r="A125" s="113" t="s">
        <v>129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9">
        <v>9.6579999999999995</v>
      </c>
      <c r="AH125" s="53"/>
      <c r="AI125" s="54"/>
      <c r="AK125" s="55"/>
    </row>
    <row r="126" spans="1:37" x14ac:dyDescent="0.25">
      <c r="A126" s="113" t="s">
        <v>130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9">
        <v>9.6</v>
      </c>
      <c r="AH126" s="53"/>
      <c r="AI126" s="54"/>
      <c r="AK126" s="55"/>
    </row>
    <row r="127" spans="1:37" x14ac:dyDescent="0.25">
      <c r="A127" s="113" t="s">
        <v>131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9">
        <v>9.51</v>
      </c>
      <c r="AH127" s="53"/>
      <c r="AI127" s="54"/>
      <c r="AK127" s="55"/>
    </row>
    <row r="128" spans="1:37" x14ac:dyDescent="0.25">
      <c r="A128" s="113" t="s">
        <v>132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9">
        <v>9.4</v>
      </c>
      <c r="AH128" s="53"/>
      <c r="AI128" s="54"/>
      <c r="AK128" s="55"/>
    </row>
    <row r="129" spans="1:37" x14ac:dyDescent="0.25">
      <c r="A129" s="113" t="s">
        <v>133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9">
        <v>8.8000000000000007</v>
      </c>
      <c r="AH129" s="53"/>
      <c r="AI129" s="54"/>
      <c r="AK129" s="55"/>
    </row>
    <row r="130" spans="1:37" x14ac:dyDescent="0.25">
      <c r="A130" s="113" t="s">
        <v>134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9">
        <v>8.5</v>
      </c>
      <c r="AH130" s="53"/>
      <c r="AI130" s="54"/>
      <c r="AK130" s="55"/>
    </row>
    <row r="131" spans="1:37" x14ac:dyDescent="0.25">
      <c r="A131" s="113" t="s">
        <v>135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9">
        <v>8.5</v>
      </c>
      <c r="AH131" s="53"/>
      <c r="AI131" s="54"/>
      <c r="AK131" s="55"/>
    </row>
    <row r="132" spans="1:37" x14ac:dyDescent="0.25">
      <c r="A132" s="113" t="s">
        <v>136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9">
        <v>8.4</v>
      </c>
      <c r="AH132" s="53"/>
      <c r="AI132" s="54"/>
      <c r="AK132" s="55"/>
    </row>
    <row r="133" spans="1:37" ht="13.5" customHeight="1" x14ac:dyDescent="0.25">
      <c r="A133" s="113" t="s">
        <v>137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9">
        <v>8</v>
      </c>
      <c r="AH133" s="53"/>
      <c r="AI133" s="54"/>
      <c r="AK133" s="55"/>
    </row>
    <row r="134" spans="1:37" x14ac:dyDescent="0.25">
      <c r="A134" s="113" t="s">
        <v>138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9">
        <v>8</v>
      </c>
      <c r="AH134" s="53"/>
      <c r="AI134" s="54"/>
      <c r="AK134" s="55"/>
    </row>
    <row r="135" spans="1:37" x14ac:dyDescent="0.25">
      <c r="A135" s="113" t="s">
        <v>139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9">
        <v>8</v>
      </c>
      <c r="AH135" s="53"/>
      <c r="AI135" s="54"/>
      <c r="AK135" s="55"/>
    </row>
    <row r="136" spans="1:37" x14ac:dyDescent="0.25">
      <c r="A136" s="113" t="s">
        <v>140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9">
        <v>7.8</v>
      </c>
      <c r="AH136" s="53"/>
      <c r="AI136" s="54"/>
      <c r="AK136" s="55"/>
    </row>
    <row r="137" spans="1:37" x14ac:dyDescent="0.25">
      <c r="A137" s="113" t="s">
        <v>141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9">
        <v>7.6</v>
      </c>
      <c r="AH137" s="53"/>
      <c r="AI137" s="54"/>
      <c r="AK137" s="55"/>
    </row>
    <row r="138" spans="1:37" x14ac:dyDescent="0.25">
      <c r="A138" s="113" t="s">
        <v>142</v>
      </c>
      <c r="B138" s="126"/>
      <c r="C138" s="127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9">
        <v>7.5</v>
      </c>
      <c r="AH138" s="53"/>
      <c r="AI138" s="54"/>
      <c r="AK138" s="55"/>
    </row>
    <row r="139" spans="1:37" x14ac:dyDescent="0.25">
      <c r="A139" s="113" t="s">
        <v>143</v>
      </c>
      <c r="B139" s="126"/>
      <c r="C139" s="127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9">
        <v>7.5</v>
      </c>
      <c r="AH139" s="53"/>
      <c r="AI139" s="54"/>
      <c r="AK139" s="55"/>
    </row>
    <row r="140" spans="1:37" x14ac:dyDescent="0.25">
      <c r="A140" s="113" t="s">
        <v>144</v>
      </c>
      <c r="B140" s="126"/>
      <c r="C140" s="127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9">
        <v>7</v>
      </c>
      <c r="AH140" s="53"/>
      <c r="AI140" s="54"/>
      <c r="AK140" s="55"/>
    </row>
    <row r="141" spans="1:37" x14ac:dyDescent="0.25">
      <c r="A141" s="113" t="s">
        <v>145</v>
      </c>
      <c r="B141" s="126"/>
      <c r="C141" s="127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9">
        <v>7</v>
      </c>
      <c r="AH141" s="53"/>
      <c r="AI141" s="54"/>
      <c r="AK141" s="55"/>
    </row>
    <row r="142" spans="1:37" x14ac:dyDescent="0.25">
      <c r="A142" s="113" t="s">
        <v>146</v>
      </c>
      <c r="B142" s="126"/>
      <c r="C142" s="127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9">
        <v>7</v>
      </c>
      <c r="AH142" s="53"/>
      <c r="AI142" s="54"/>
      <c r="AK142" s="55"/>
    </row>
    <row r="143" spans="1:37" x14ac:dyDescent="0.25">
      <c r="A143" s="113" t="s">
        <v>147</v>
      </c>
      <c r="B143" s="126"/>
      <c r="C143" s="127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9">
        <v>7</v>
      </c>
      <c r="AH143" s="53"/>
      <c r="AI143" s="54"/>
      <c r="AK143" s="55"/>
    </row>
    <row r="144" spans="1:37" x14ac:dyDescent="0.25">
      <c r="A144" s="113" t="s">
        <v>148</v>
      </c>
      <c r="B144" s="126"/>
      <c r="C144" s="127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9">
        <v>6.6</v>
      </c>
      <c r="AH144" s="53"/>
      <c r="AI144" s="54"/>
      <c r="AK144" s="55"/>
    </row>
    <row r="145" spans="1:37" x14ac:dyDescent="0.25">
      <c r="A145" s="113" t="s">
        <v>149</v>
      </c>
      <c r="B145" s="126"/>
      <c r="C145" s="127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9">
        <v>6.6</v>
      </c>
      <c r="AH145" s="53"/>
      <c r="AI145" s="54"/>
      <c r="AK145" s="55"/>
    </row>
    <row r="146" spans="1:37" x14ac:dyDescent="0.25">
      <c r="A146" s="113" t="s">
        <v>150</v>
      </c>
      <c r="B146" s="126"/>
      <c r="C146" s="127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9">
        <v>6.4</v>
      </c>
      <c r="AH146" s="53"/>
      <c r="AI146" s="54"/>
      <c r="AK146" s="55"/>
    </row>
    <row r="147" spans="1:37" x14ac:dyDescent="0.25">
      <c r="A147" s="113" t="s">
        <v>151</v>
      </c>
      <c r="B147" s="126"/>
      <c r="C147" s="127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9">
        <v>6</v>
      </c>
      <c r="AH147" s="53"/>
      <c r="AI147" s="54"/>
      <c r="AK147" s="55"/>
    </row>
    <row r="148" spans="1:37" x14ac:dyDescent="0.25">
      <c r="A148" s="113" t="s">
        <v>152</v>
      </c>
      <c r="B148" s="126"/>
      <c r="C148" s="127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9">
        <v>5.0999999999999996</v>
      </c>
      <c r="AH148" s="53"/>
      <c r="AI148" s="54"/>
      <c r="AK148" s="55"/>
    </row>
    <row r="149" spans="1:37" x14ac:dyDescent="0.25">
      <c r="A149" s="113" t="s">
        <v>153</v>
      </c>
      <c r="B149" s="126"/>
      <c r="C149" s="127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9">
        <v>5</v>
      </c>
      <c r="AH149" s="53"/>
      <c r="AI149" s="54"/>
      <c r="AK149" s="55"/>
    </row>
    <row r="150" spans="1:37" x14ac:dyDescent="0.25">
      <c r="A150" s="98" t="s">
        <v>154</v>
      </c>
      <c r="B150" s="126"/>
      <c r="C150" s="127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>
        <v>5</v>
      </c>
      <c r="AH150" s="53"/>
      <c r="AI150" s="54"/>
      <c r="AK150" s="55"/>
    </row>
    <row r="151" spans="1:37" x14ac:dyDescent="0.25">
      <c r="A151" s="113" t="s">
        <v>155</v>
      </c>
      <c r="B151" s="126"/>
      <c r="C151" s="127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9">
        <v>5</v>
      </c>
      <c r="AH151" s="53"/>
      <c r="AI151" s="54"/>
      <c r="AK151" s="55"/>
    </row>
    <row r="152" spans="1:37" x14ac:dyDescent="0.25">
      <c r="A152" s="113" t="s">
        <v>156</v>
      </c>
      <c r="B152" s="126"/>
      <c r="C152" s="127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9">
        <v>5</v>
      </c>
      <c r="AH152" s="53"/>
      <c r="AI152" s="54"/>
      <c r="AK152" s="55"/>
    </row>
    <row r="153" spans="1:37" x14ac:dyDescent="0.25">
      <c r="A153" s="113" t="s">
        <v>157</v>
      </c>
      <c r="B153" s="126"/>
      <c r="C153" s="127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9">
        <v>5</v>
      </c>
      <c r="AH153" s="53"/>
      <c r="AI153" s="54"/>
      <c r="AK153" s="55"/>
    </row>
    <row r="154" spans="1:37" x14ac:dyDescent="0.25">
      <c r="A154" s="113" t="s">
        <v>158</v>
      </c>
      <c r="B154" s="126"/>
      <c r="C154" s="127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9">
        <v>5</v>
      </c>
      <c r="AH154" s="53"/>
      <c r="AI154" s="54"/>
      <c r="AK154" s="55"/>
    </row>
    <row r="155" spans="1:37" x14ac:dyDescent="0.25">
      <c r="A155" s="113" t="s">
        <v>159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9">
        <v>5</v>
      </c>
      <c r="AH155" s="53"/>
      <c r="AI155" s="54"/>
      <c r="AK155" s="55"/>
    </row>
    <row r="156" spans="1:37" x14ac:dyDescent="0.25">
      <c r="A156" s="113" t="s">
        <v>160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4.9930000000000003</v>
      </c>
      <c r="AH156" s="53"/>
      <c r="AI156" s="54"/>
      <c r="AK156" s="55"/>
    </row>
    <row r="157" spans="1:37" x14ac:dyDescent="0.25">
      <c r="A157" s="113" t="s">
        <v>161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4.9800000000000004</v>
      </c>
      <c r="AH157" s="53"/>
      <c r="AI157" s="54"/>
      <c r="AK157" s="55"/>
    </row>
    <row r="158" spans="1:37" x14ac:dyDescent="0.25">
      <c r="A158" s="113" t="s">
        <v>162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4.95</v>
      </c>
      <c r="AH158" s="53"/>
      <c r="AI158" s="54"/>
      <c r="AK158" s="55"/>
    </row>
    <row r="159" spans="1:37" x14ac:dyDescent="0.25">
      <c r="A159" s="113" t="s">
        <v>163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4.95</v>
      </c>
      <c r="AH159" s="53"/>
      <c r="AI159" s="54"/>
      <c r="AK159" s="55"/>
    </row>
    <row r="160" spans="1:37" x14ac:dyDescent="0.25">
      <c r="A160" s="113" t="s">
        <v>164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4.8</v>
      </c>
      <c r="AH160" s="53"/>
      <c r="AI160" s="54"/>
      <c r="AK160" s="55"/>
    </row>
    <row r="161" spans="1:37" x14ac:dyDescent="0.25">
      <c r="A161" s="113" t="s">
        <v>165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4.8</v>
      </c>
      <c r="AH161" s="53"/>
      <c r="AI161" s="54"/>
      <c r="AK161" s="55"/>
    </row>
    <row r="162" spans="1:37" x14ac:dyDescent="0.25">
      <c r="A162" s="113" t="s">
        <v>166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4.8</v>
      </c>
      <c r="AH162" s="53"/>
      <c r="AI162" s="54"/>
      <c r="AK162" s="55"/>
    </row>
    <row r="163" spans="1:37" x14ac:dyDescent="0.25">
      <c r="A163" s="113" t="s">
        <v>167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4.5</v>
      </c>
      <c r="AH163" s="53"/>
      <c r="AI163" s="54"/>
      <c r="AK163" s="55"/>
    </row>
    <row r="164" spans="1:37" x14ac:dyDescent="0.25">
      <c r="A164" s="113" t="s">
        <v>168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4.5</v>
      </c>
      <c r="AH164" s="53"/>
      <c r="AI164" s="54"/>
      <c r="AK164" s="55"/>
    </row>
    <row r="165" spans="1:37" x14ac:dyDescent="0.25">
      <c r="A165" s="113" t="s">
        <v>169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4.4550000000000001</v>
      </c>
      <c r="AH165" s="53"/>
      <c r="AI165" s="54"/>
      <c r="AK165" s="55"/>
    </row>
    <row r="166" spans="1:37" x14ac:dyDescent="0.25">
      <c r="A166" s="113" t="s">
        <v>170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4.41</v>
      </c>
      <c r="AH166" s="53"/>
      <c r="AI166" s="54"/>
      <c r="AK166" s="55"/>
    </row>
    <row r="167" spans="1:37" x14ac:dyDescent="0.25">
      <c r="A167" s="113" t="s">
        <v>171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4.4000000000000004</v>
      </c>
      <c r="AH167" s="53"/>
      <c r="AI167" s="54"/>
      <c r="AK167" s="55"/>
    </row>
    <row r="168" spans="1:37" x14ac:dyDescent="0.25">
      <c r="A168" s="113" t="s">
        <v>172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4.3600000000000003</v>
      </c>
      <c r="AH168" s="53"/>
      <c r="AI168" s="54"/>
      <c r="AK168" s="55"/>
    </row>
    <row r="169" spans="1:37" x14ac:dyDescent="0.25">
      <c r="A169" s="113" t="s">
        <v>173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4.2</v>
      </c>
      <c r="AH169" s="53"/>
      <c r="AI169" s="54"/>
      <c r="AK169" s="55"/>
    </row>
    <row r="170" spans="1:37" x14ac:dyDescent="0.25">
      <c r="A170" s="113" t="s">
        <v>174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4</v>
      </c>
      <c r="AH170" s="53"/>
      <c r="AI170" s="54"/>
      <c r="AK170" s="55"/>
    </row>
    <row r="171" spans="1:37" x14ac:dyDescent="0.25">
      <c r="A171" s="113" t="s">
        <v>175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4</v>
      </c>
      <c r="AH171" s="53"/>
      <c r="AI171" s="54"/>
      <c r="AK171" s="55"/>
    </row>
    <row r="172" spans="1:37" x14ac:dyDescent="0.25">
      <c r="A172" s="113" t="s">
        <v>176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4</v>
      </c>
      <c r="AH172" s="53"/>
      <c r="AI172" s="54"/>
      <c r="AK172" s="55"/>
    </row>
    <row r="173" spans="1:37" x14ac:dyDescent="0.25">
      <c r="A173" s="113" t="s">
        <v>177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4</v>
      </c>
      <c r="AH173" s="53"/>
      <c r="AI173" s="54"/>
      <c r="AK173" s="55"/>
    </row>
    <row r="174" spans="1:37" x14ac:dyDescent="0.25">
      <c r="A174" s="113" t="s">
        <v>178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4</v>
      </c>
      <c r="AH174" s="53"/>
      <c r="AI174" s="54"/>
      <c r="AK174" s="55"/>
    </row>
    <row r="175" spans="1:37" x14ac:dyDescent="0.25">
      <c r="A175" s="113" t="s">
        <v>179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4</v>
      </c>
      <c r="AH175" s="53"/>
      <c r="AI175" s="54"/>
      <c r="AK175" s="55"/>
    </row>
    <row r="176" spans="1:37" x14ac:dyDescent="0.25">
      <c r="A176" s="113" t="s">
        <v>180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4</v>
      </c>
      <c r="AH176" s="53"/>
      <c r="AI176" s="54"/>
      <c r="AK176" s="55"/>
    </row>
    <row r="177" spans="1:37" x14ac:dyDescent="0.25">
      <c r="A177" s="113" t="s">
        <v>181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4</v>
      </c>
      <c r="AH177" s="53"/>
      <c r="AI177" s="54"/>
      <c r="AK177" s="55"/>
    </row>
    <row r="178" spans="1:37" x14ac:dyDescent="0.25">
      <c r="A178" s="113" t="s">
        <v>182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3.75</v>
      </c>
      <c r="AH178" s="53"/>
      <c r="AI178" s="54"/>
      <c r="AK178" s="55"/>
    </row>
    <row r="179" spans="1:37" x14ac:dyDescent="0.25">
      <c r="A179" s="113" t="s">
        <v>183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3.52</v>
      </c>
      <c r="AH179" s="53"/>
      <c r="AI179" s="54"/>
      <c r="AK179" s="55"/>
    </row>
    <row r="180" spans="1:37" x14ac:dyDescent="0.25">
      <c r="A180" s="113" t="s">
        <v>184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3.33</v>
      </c>
      <c r="AH180" s="53"/>
      <c r="AI180" s="54"/>
      <c r="AK180" s="55"/>
    </row>
    <row r="181" spans="1:37" x14ac:dyDescent="0.25">
      <c r="A181" s="113" t="s">
        <v>185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9">
        <v>3.2</v>
      </c>
      <c r="AH181" s="53"/>
      <c r="AI181" s="54"/>
      <c r="AK181" s="55"/>
    </row>
    <row r="182" spans="1:37" x14ac:dyDescent="0.25">
      <c r="A182" s="113" t="s">
        <v>186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3</v>
      </c>
      <c r="AH182" s="53"/>
      <c r="AI182" s="54"/>
      <c r="AK182" s="55"/>
    </row>
    <row r="183" spans="1:37" x14ac:dyDescent="0.25">
      <c r="A183" s="113" t="s">
        <v>187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3</v>
      </c>
      <c r="AH183" s="53"/>
      <c r="AI183" s="54"/>
      <c r="AK183" s="55"/>
    </row>
    <row r="184" spans="1:37" x14ac:dyDescent="0.25">
      <c r="A184" s="113" t="s">
        <v>188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3</v>
      </c>
      <c r="AH184" s="53"/>
      <c r="AI184" s="54"/>
      <c r="AK184" s="55"/>
    </row>
    <row r="185" spans="1:37" x14ac:dyDescent="0.25">
      <c r="A185" s="113" t="s">
        <v>189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3</v>
      </c>
      <c r="AH185" s="53"/>
      <c r="AI185" s="54"/>
      <c r="AK185" s="55"/>
    </row>
    <row r="186" spans="1:37" x14ac:dyDescent="0.25">
      <c r="A186" s="113" t="s">
        <v>190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3</v>
      </c>
      <c r="AH186" s="53"/>
      <c r="AI186" s="54"/>
      <c r="AK186" s="55"/>
    </row>
    <row r="187" spans="1:37" x14ac:dyDescent="0.25">
      <c r="A187" s="113" t="s">
        <v>191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3</v>
      </c>
      <c r="AH187" s="53"/>
      <c r="AI187" s="54"/>
      <c r="AK187" s="55"/>
    </row>
    <row r="188" spans="1:37" x14ac:dyDescent="0.25">
      <c r="A188" s="113" t="s">
        <v>192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3</v>
      </c>
      <c r="AH188" s="53"/>
      <c r="AI188" s="54"/>
      <c r="AK188" s="55"/>
    </row>
    <row r="189" spans="1:37" x14ac:dyDescent="0.25">
      <c r="A189" s="113" t="s">
        <v>193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3</v>
      </c>
      <c r="AH189" s="53"/>
      <c r="AI189" s="54"/>
      <c r="AK189" s="55"/>
    </row>
    <row r="190" spans="1:37" x14ac:dyDescent="0.25">
      <c r="A190" s="113" t="s">
        <v>194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2.83</v>
      </c>
      <c r="AH190" s="53"/>
      <c r="AI190" s="54"/>
      <c r="AK190" s="55"/>
    </row>
    <row r="191" spans="1:37" x14ac:dyDescent="0.25">
      <c r="A191" s="113" t="s">
        <v>195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2.5</v>
      </c>
      <c r="AH191" s="53"/>
      <c r="AI191" s="54"/>
      <c r="AK191" s="55"/>
    </row>
    <row r="192" spans="1:37" x14ac:dyDescent="0.25">
      <c r="A192" s="113" t="s">
        <v>196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2.5</v>
      </c>
      <c r="AH192" s="53"/>
      <c r="AI192" s="54"/>
      <c r="AK192" s="55"/>
    </row>
    <row r="193" spans="1:37" x14ac:dyDescent="0.25">
      <c r="A193" s="113" t="s">
        <v>197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2.4</v>
      </c>
      <c r="AH193" s="53"/>
      <c r="AI193" s="54"/>
      <c r="AK193" s="55"/>
    </row>
    <row r="194" spans="1:37" x14ac:dyDescent="0.25">
      <c r="A194" s="113" t="s">
        <v>198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2.4</v>
      </c>
      <c r="AH194" s="53"/>
      <c r="AI194" s="54"/>
      <c r="AK194" s="55"/>
    </row>
    <row r="195" spans="1:37" x14ac:dyDescent="0.25">
      <c r="A195" s="113" t="s">
        <v>199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2.2000000000000002</v>
      </c>
      <c r="AH195" s="53"/>
      <c r="AI195" s="54"/>
      <c r="AK195" s="55"/>
    </row>
    <row r="196" spans="1:37" x14ac:dyDescent="0.25">
      <c r="A196" s="113" t="s">
        <v>200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2</v>
      </c>
      <c r="AH196" s="53"/>
      <c r="AI196" s="54"/>
      <c r="AK196" s="55"/>
    </row>
    <row r="197" spans="1:37" x14ac:dyDescent="0.25">
      <c r="A197" s="113" t="s">
        <v>201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2</v>
      </c>
      <c r="AH197" s="53"/>
      <c r="AI197" s="54"/>
      <c r="AK197" s="55"/>
    </row>
    <row r="198" spans="1:37" x14ac:dyDescent="0.25">
      <c r="A198" s="113" t="s">
        <v>202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2</v>
      </c>
      <c r="AH198" s="53"/>
      <c r="AI198" s="54"/>
      <c r="AK198" s="55"/>
    </row>
    <row r="199" spans="1:37" x14ac:dyDescent="0.25">
      <c r="A199" s="113" t="s">
        <v>203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1.8</v>
      </c>
      <c r="AH199" s="53"/>
      <c r="AI199" s="54"/>
      <c r="AK199" s="55"/>
    </row>
    <row r="200" spans="1:37" x14ac:dyDescent="0.25">
      <c r="A200" s="113" t="s">
        <v>204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1.8</v>
      </c>
      <c r="AH200" s="53"/>
      <c r="AI200" s="54"/>
      <c r="AK200" s="55"/>
    </row>
    <row r="201" spans="1:37" x14ac:dyDescent="0.25">
      <c r="A201" s="113" t="s">
        <v>205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1.65</v>
      </c>
      <c r="AH201" s="53"/>
      <c r="AI201" s="54"/>
      <c r="AK201" s="55"/>
    </row>
    <row r="202" spans="1:37" x14ac:dyDescent="0.25">
      <c r="A202" s="113" t="s">
        <v>206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1.5</v>
      </c>
      <c r="AH202" s="53"/>
      <c r="AI202" s="54"/>
      <c r="AK202" s="55"/>
    </row>
    <row r="203" spans="1:37" x14ac:dyDescent="0.25">
      <c r="A203" s="113" t="s">
        <v>207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0.998</v>
      </c>
      <c r="AH203" s="53"/>
      <c r="AI203" s="54"/>
      <c r="AK203" s="55"/>
    </row>
    <row r="204" spans="1:37" x14ac:dyDescent="0.25">
      <c r="A204" s="113" t="s">
        <v>208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0.997</v>
      </c>
      <c r="AH204" s="53"/>
      <c r="AI204" s="54"/>
      <c r="AK204" s="55"/>
    </row>
    <row r="205" spans="1:37" x14ac:dyDescent="0.25">
      <c r="A205" s="113" t="s">
        <v>209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0.997</v>
      </c>
      <c r="AH205" s="53"/>
      <c r="AI205" s="54"/>
      <c r="AK205" s="55"/>
    </row>
    <row r="206" spans="1:37" x14ac:dyDescent="0.25">
      <c r="A206" s="113" t="s">
        <v>210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0.996</v>
      </c>
      <c r="AH206" s="53"/>
      <c r="AI206" s="54"/>
      <c r="AK206" s="55"/>
    </row>
    <row r="207" spans="1:37" x14ac:dyDescent="0.25">
      <c r="A207" s="113" t="s">
        <v>211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0.996</v>
      </c>
      <c r="AH207" s="53"/>
      <c r="AI207" s="54"/>
      <c r="AK207" s="55"/>
    </row>
    <row r="208" spans="1:37" x14ac:dyDescent="0.25">
      <c r="A208" s="113" t="s">
        <v>212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0.996</v>
      </c>
      <c r="AH208" s="53"/>
      <c r="AI208" s="54"/>
      <c r="AK208" s="55"/>
    </row>
    <row r="209" spans="1:37" x14ac:dyDescent="0.25">
      <c r="A209" s="113" t="s">
        <v>213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0.995</v>
      </c>
      <c r="AH209" s="53"/>
      <c r="AI209" s="54"/>
      <c r="AK209" s="55"/>
    </row>
    <row r="210" spans="1:37" x14ac:dyDescent="0.25">
      <c r="A210" s="113" t="s">
        <v>214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0.99299999999999999</v>
      </c>
      <c r="AH210" s="53"/>
      <c r="AI210" s="54"/>
      <c r="AK210" s="55"/>
    </row>
    <row r="211" spans="1:37" x14ac:dyDescent="0.25">
      <c r="A211" s="113" t="s">
        <v>215</v>
      </c>
      <c r="B211" s="126"/>
      <c r="C211" s="124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0.99</v>
      </c>
      <c r="AH211" s="53"/>
      <c r="AI211" s="54"/>
      <c r="AK211" s="55"/>
    </row>
    <row r="212" spans="1:37" ht="15.75" thickBot="1" x14ac:dyDescent="0.3">
      <c r="A212" s="113" t="s">
        <v>216</v>
      </c>
      <c r="B212" s="130"/>
      <c r="C212" s="131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29">
        <v>0.97899999999999998</v>
      </c>
      <c r="AH212" s="53"/>
      <c r="AI212" s="54"/>
      <c r="AK212" s="55"/>
    </row>
    <row r="213" spans="1:37" ht="15.75" thickBot="1" x14ac:dyDescent="0.3">
      <c r="A213" s="132" t="s">
        <v>217</v>
      </c>
      <c r="B213" s="133">
        <f>SUM(B108:B212)</f>
        <v>0</v>
      </c>
      <c r="C213" s="134">
        <f t="shared" ref="C213:AG213" si="25">SUM(C108:C212)</f>
        <v>0</v>
      </c>
      <c r="D213" s="134">
        <f t="shared" si="25"/>
        <v>0</v>
      </c>
      <c r="E213" s="134">
        <f t="shared" si="25"/>
        <v>0</v>
      </c>
      <c r="F213" s="134">
        <f t="shared" si="25"/>
        <v>0</v>
      </c>
      <c r="G213" s="134">
        <f t="shared" si="25"/>
        <v>0</v>
      </c>
      <c r="H213" s="134">
        <f t="shared" si="25"/>
        <v>0</v>
      </c>
      <c r="I213" s="134">
        <f t="shared" si="25"/>
        <v>0</v>
      </c>
      <c r="J213" s="134">
        <f t="shared" si="25"/>
        <v>0</v>
      </c>
      <c r="K213" s="134">
        <f t="shared" si="25"/>
        <v>0</v>
      </c>
      <c r="L213" s="134">
        <f t="shared" si="25"/>
        <v>0</v>
      </c>
      <c r="M213" s="134">
        <f t="shared" si="25"/>
        <v>0</v>
      </c>
      <c r="N213" s="134">
        <f t="shared" si="25"/>
        <v>0</v>
      </c>
      <c r="O213" s="134">
        <f t="shared" si="25"/>
        <v>0</v>
      </c>
      <c r="P213" s="134">
        <f t="shared" si="25"/>
        <v>0</v>
      </c>
      <c r="Q213" s="134">
        <f t="shared" si="25"/>
        <v>0</v>
      </c>
      <c r="R213" s="134">
        <f t="shared" si="25"/>
        <v>0</v>
      </c>
      <c r="S213" s="134">
        <f t="shared" si="25"/>
        <v>0</v>
      </c>
      <c r="T213" s="134">
        <f t="shared" si="25"/>
        <v>0</v>
      </c>
      <c r="U213" s="134">
        <f t="shared" si="25"/>
        <v>0</v>
      </c>
      <c r="V213" s="134">
        <f t="shared" si="25"/>
        <v>0</v>
      </c>
      <c r="W213" s="134">
        <f t="shared" si="25"/>
        <v>0</v>
      </c>
      <c r="X213" s="134">
        <f t="shared" si="25"/>
        <v>0</v>
      </c>
      <c r="Y213" s="134">
        <f t="shared" si="25"/>
        <v>0</v>
      </c>
      <c r="Z213" s="134">
        <f t="shared" si="25"/>
        <v>0</v>
      </c>
      <c r="AA213" s="134">
        <f t="shared" si="25"/>
        <v>0</v>
      </c>
      <c r="AB213" s="134">
        <f t="shared" si="25"/>
        <v>0</v>
      </c>
      <c r="AC213" s="134">
        <f t="shared" si="25"/>
        <v>0</v>
      </c>
      <c r="AD213" s="134">
        <f t="shared" si="25"/>
        <v>0</v>
      </c>
      <c r="AE213" s="134">
        <f t="shared" si="25"/>
        <v>0</v>
      </c>
      <c r="AF213" s="135">
        <f t="shared" si="25"/>
        <v>0</v>
      </c>
      <c r="AG213" s="136">
        <f t="shared" si="25"/>
        <v>412.72299999999984</v>
      </c>
      <c r="AH213" s="53"/>
      <c r="AI213" s="54"/>
      <c r="AK213" s="55"/>
    </row>
    <row r="214" spans="1:37" ht="15.75" thickBot="1" x14ac:dyDescent="0.3">
      <c r="A214" s="28" t="s">
        <v>63</v>
      </c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8"/>
      <c r="AH214" s="53"/>
      <c r="AI214" s="54"/>
      <c r="AK214" s="55"/>
    </row>
    <row r="215" spans="1:37" x14ac:dyDescent="0.25">
      <c r="A215" s="95" t="s">
        <v>218</v>
      </c>
      <c r="B215" s="139">
        <f t="shared" ref="B215:B220" si="26">AF215</f>
        <v>0</v>
      </c>
      <c r="C215" s="139">
        <v>0.3</v>
      </c>
      <c r="D215" s="139">
        <f t="shared" ref="D215:P220" si="27">C215</f>
        <v>0.3</v>
      </c>
      <c r="E215" s="139">
        <f t="shared" si="27"/>
        <v>0.3</v>
      </c>
      <c r="F215" s="139">
        <f t="shared" si="27"/>
        <v>0.3</v>
      </c>
      <c r="G215" s="139">
        <f t="shared" si="27"/>
        <v>0.3</v>
      </c>
      <c r="H215" s="139">
        <f t="shared" si="27"/>
        <v>0.3</v>
      </c>
      <c r="I215" s="139">
        <f t="shared" si="27"/>
        <v>0.3</v>
      </c>
      <c r="J215" s="139">
        <f t="shared" si="27"/>
        <v>0.3</v>
      </c>
      <c r="K215" s="139">
        <f t="shared" si="27"/>
        <v>0.3</v>
      </c>
      <c r="L215" s="139">
        <f t="shared" si="27"/>
        <v>0.3</v>
      </c>
      <c r="M215" s="139">
        <f t="shared" si="27"/>
        <v>0.3</v>
      </c>
      <c r="N215" s="139">
        <f t="shared" si="27"/>
        <v>0.3</v>
      </c>
      <c r="O215" s="139">
        <f t="shared" si="27"/>
        <v>0.3</v>
      </c>
      <c r="P215" s="139">
        <f t="shared" si="27"/>
        <v>0.3</v>
      </c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40">
        <v>2.4</v>
      </c>
      <c r="AH215" s="53"/>
      <c r="AI215" s="54"/>
      <c r="AK215" s="55"/>
    </row>
    <row r="216" spans="1:37" x14ac:dyDescent="0.25">
      <c r="A216" s="98" t="s">
        <v>219</v>
      </c>
      <c r="B216" s="126">
        <f t="shared" si="26"/>
        <v>0</v>
      </c>
      <c r="C216" s="126">
        <v>0.4</v>
      </c>
      <c r="D216" s="126">
        <f t="shared" si="27"/>
        <v>0.4</v>
      </c>
      <c r="E216" s="126">
        <f t="shared" si="27"/>
        <v>0.4</v>
      </c>
      <c r="F216" s="126">
        <f t="shared" si="27"/>
        <v>0.4</v>
      </c>
      <c r="G216" s="126">
        <f t="shared" si="27"/>
        <v>0.4</v>
      </c>
      <c r="H216" s="126">
        <f t="shared" si="27"/>
        <v>0.4</v>
      </c>
      <c r="I216" s="126">
        <f t="shared" si="27"/>
        <v>0.4</v>
      </c>
      <c r="J216" s="126">
        <f t="shared" si="27"/>
        <v>0.4</v>
      </c>
      <c r="K216" s="126">
        <f t="shared" si="27"/>
        <v>0.4</v>
      </c>
      <c r="L216" s="126">
        <f t="shared" si="27"/>
        <v>0.4</v>
      </c>
      <c r="M216" s="126">
        <f t="shared" si="27"/>
        <v>0.4</v>
      </c>
      <c r="N216" s="126">
        <f t="shared" si="27"/>
        <v>0.4</v>
      </c>
      <c r="O216" s="126">
        <f t="shared" si="27"/>
        <v>0.4</v>
      </c>
      <c r="P216" s="126">
        <f t="shared" si="27"/>
        <v>0.4</v>
      </c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41">
        <v>2</v>
      </c>
      <c r="AH216" s="53"/>
      <c r="AI216" s="54"/>
      <c r="AK216" s="55"/>
    </row>
    <row r="217" spans="1:37" x14ac:dyDescent="0.25">
      <c r="A217" s="98" t="s">
        <v>220</v>
      </c>
      <c r="B217" s="126">
        <f t="shared" si="26"/>
        <v>0</v>
      </c>
      <c r="C217" s="126">
        <v>1.5</v>
      </c>
      <c r="D217" s="126">
        <f t="shared" si="27"/>
        <v>1.5</v>
      </c>
      <c r="E217" s="126">
        <f t="shared" si="27"/>
        <v>1.5</v>
      </c>
      <c r="F217" s="126">
        <f t="shared" si="27"/>
        <v>1.5</v>
      </c>
      <c r="G217" s="126">
        <f t="shared" si="27"/>
        <v>1.5</v>
      </c>
      <c r="H217" s="126">
        <f t="shared" si="27"/>
        <v>1.5</v>
      </c>
      <c r="I217" s="126">
        <f t="shared" si="27"/>
        <v>1.5</v>
      </c>
      <c r="J217" s="126">
        <f t="shared" si="27"/>
        <v>1.5</v>
      </c>
      <c r="K217" s="126">
        <f t="shared" si="27"/>
        <v>1.5</v>
      </c>
      <c r="L217" s="126">
        <f t="shared" si="27"/>
        <v>1.5</v>
      </c>
      <c r="M217" s="126">
        <f t="shared" si="27"/>
        <v>1.5</v>
      </c>
      <c r="N217" s="126">
        <f t="shared" si="27"/>
        <v>1.5</v>
      </c>
      <c r="O217" s="126">
        <f t="shared" si="27"/>
        <v>1.5</v>
      </c>
      <c r="P217" s="126">
        <f t="shared" si="27"/>
        <v>1.5</v>
      </c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41">
        <v>1.5</v>
      </c>
      <c r="AH217" s="53"/>
      <c r="AI217" s="54"/>
      <c r="AK217" s="55"/>
    </row>
    <row r="218" spans="1:37" x14ac:dyDescent="0.25">
      <c r="A218" s="98" t="s">
        <v>221</v>
      </c>
      <c r="B218" s="126">
        <f t="shared" si="26"/>
        <v>0</v>
      </c>
      <c r="C218" s="126">
        <v>0.3</v>
      </c>
      <c r="D218" s="126">
        <f t="shared" si="27"/>
        <v>0.3</v>
      </c>
      <c r="E218" s="126">
        <f t="shared" si="27"/>
        <v>0.3</v>
      </c>
      <c r="F218" s="126">
        <f t="shared" si="27"/>
        <v>0.3</v>
      </c>
      <c r="G218" s="126">
        <f t="shared" si="27"/>
        <v>0.3</v>
      </c>
      <c r="H218" s="126">
        <f t="shared" si="27"/>
        <v>0.3</v>
      </c>
      <c r="I218" s="126">
        <f t="shared" si="27"/>
        <v>0.3</v>
      </c>
      <c r="J218" s="126">
        <f t="shared" si="27"/>
        <v>0.3</v>
      </c>
      <c r="K218" s="126">
        <f t="shared" si="27"/>
        <v>0.3</v>
      </c>
      <c r="L218" s="126">
        <f t="shared" si="27"/>
        <v>0.3</v>
      </c>
      <c r="M218" s="126">
        <f t="shared" si="27"/>
        <v>0.3</v>
      </c>
      <c r="N218" s="126">
        <f t="shared" si="27"/>
        <v>0.3</v>
      </c>
      <c r="O218" s="126">
        <f t="shared" si="27"/>
        <v>0.3</v>
      </c>
      <c r="P218" s="126">
        <f t="shared" si="27"/>
        <v>0.3</v>
      </c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41">
        <v>1</v>
      </c>
      <c r="AH218" s="53"/>
      <c r="AI218" s="54"/>
      <c r="AK218" s="55"/>
    </row>
    <row r="219" spans="1:37" x14ac:dyDescent="0.25">
      <c r="A219" s="98" t="s">
        <v>222</v>
      </c>
      <c r="B219" s="126">
        <f t="shared" si="26"/>
        <v>0</v>
      </c>
      <c r="C219" s="126">
        <v>0.4</v>
      </c>
      <c r="D219" s="126">
        <f t="shared" si="27"/>
        <v>0.4</v>
      </c>
      <c r="E219" s="126">
        <f t="shared" si="27"/>
        <v>0.4</v>
      </c>
      <c r="F219" s="126">
        <f t="shared" si="27"/>
        <v>0.4</v>
      </c>
      <c r="G219" s="126">
        <f t="shared" si="27"/>
        <v>0.4</v>
      </c>
      <c r="H219" s="126">
        <f t="shared" si="27"/>
        <v>0.4</v>
      </c>
      <c r="I219" s="126">
        <f t="shared" si="27"/>
        <v>0.4</v>
      </c>
      <c r="J219" s="126">
        <f t="shared" si="27"/>
        <v>0.4</v>
      </c>
      <c r="K219" s="126">
        <f t="shared" si="27"/>
        <v>0.4</v>
      </c>
      <c r="L219" s="126">
        <f t="shared" si="27"/>
        <v>0.4</v>
      </c>
      <c r="M219" s="126">
        <f t="shared" si="27"/>
        <v>0.4</v>
      </c>
      <c r="N219" s="126">
        <f t="shared" si="27"/>
        <v>0.4</v>
      </c>
      <c r="O219" s="126">
        <f t="shared" si="27"/>
        <v>0.4</v>
      </c>
      <c r="P219" s="126">
        <f t="shared" si="27"/>
        <v>0.4</v>
      </c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41">
        <v>1</v>
      </c>
      <c r="AH219" s="53"/>
      <c r="AI219" s="54"/>
      <c r="AK219" s="55"/>
    </row>
    <row r="220" spans="1:37" ht="15.75" thickBot="1" x14ac:dyDescent="0.3">
      <c r="A220" s="113" t="s">
        <v>223</v>
      </c>
      <c r="B220" s="130">
        <f t="shared" si="26"/>
        <v>0</v>
      </c>
      <c r="C220" s="130">
        <v>0.64</v>
      </c>
      <c r="D220" s="130">
        <f t="shared" si="27"/>
        <v>0.64</v>
      </c>
      <c r="E220" s="130">
        <f t="shared" si="27"/>
        <v>0.64</v>
      </c>
      <c r="F220" s="130">
        <f t="shared" si="27"/>
        <v>0.64</v>
      </c>
      <c r="G220" s="130">
        <f t="shared" si="27"/>
        <v>0.64</v>
      </c>
      <c r="H220" s="130">
        <f t="shared" si="27"/>
        <v>0.64</v>
      </c>
      <c r="I220" s="130">
        <f t="shared" si="27"/>
        <v>0.64</v>
      </c>
      <c r="J220" s="130">
        <f t="shared" si="27"/>
        <v>0.64</v>
      </c>
      <c r="K220" s="130">
        <f t="shared" si="27"/>
        <v>0.64</v>
      </c>
      <c r="L220" s="130">
        <f t="shared" si="27"/>
        <v>0.64</v>
      </c>
      <c r="M220" s="130">
        <f t="shared" si="27"/>
        <v>0.64</v>
      </c>
      <c r="N220" s="130">
        <f t="shared" si="27"/>
        <v>0.64</v>
      </c>
      <c r="O220" s="130">
        <f t="shared" si="27"/>
        <v>0.64</v>
      </c>
      <c r="P220" s="130">
        <f t="shared" si="27"/>
        <v>0.64</v>
      </c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42">
        <v>0.66</v>
      </c>
      <c r="AH220" s="53"/>
      <c r="AI220" s="54"/>
    </row>
    <row r="221" spans="1:37" ht="15.75" thickBot="1" x14ac:dyDescent="0.3">
      <c r="A221" s="143" t="s">
        <v>63</v>
      </c>
      <c r="B221" s="134">
        <f>SUM(B215:B220)</f>
        <v>0</v>
      </c>
      <c r="C221" s="134">
        <f>SUM(C215:C220)</f>
        <v>3.54</v>
      </c>
      <c r="D221" s="134">
        <f t="shared" ref="D221:L221" si="28">SUM(D215:D220)</f>
        <v>3.54</v>
      </c>
      <c r="E221" s="134">
        <f t="shared" si="28"/>
        <v>3.54</v>
      </c>
      <c r="F221" s="134">
        <f t="shared" si="28"/>
        <v>3.54</v>
      </c>
      <c r="G221" s="134">
        <f t="shared" si="28"/>
        <v>3.54</v>
      </c>
      <c r="H221" s="134">
        <f t="shared" si="28"/>
        <v>3.54</v>
      </c>
      <c r="I221" s="134">
        <f t="shared" si="28"/>
        <v>3.54</v>
      </c>
      <c r="J221" s="134">
        <f t="shared" si="28"/>
        <v>3.54</v>
      </c>
      <c r="K221" s="134">
        <f t="shared" si="28"/>
        <v>3.54</v>
      </c>
      <c r="L221" s="134">
        <f t="shared" si="28"/>
        <v>3.54</v>
      </c>
      <c r="M221" s="134">
        <f>SUM(M215:M220)</f>
        <v>3.54</v>
      </c>
      <c r="N221" s="134">
        <f t="shared" ref="N221:S221" si="29">SUM(N215:N220)</f>
        <v>3.54</v>
      </c>
      <c r="O221" s="134">
        <f t="shared" si="29"/>
        <v>3.54</v>
      </c>
      <c r="P221" s="134">
        <f t="shared" si="29"/>
        <v>3.54</v>
      </c>
      <c r="Q221" s="134">
        <f t="shared" si="29"/>
        <v>0</v>
      </c>
      <c r="R221" s="134">
        <f t="shared" si="29"/>
        <v>0</v>
      </c>
      <c r="S221" s="134">
        <f t="shared" si="29"/>
        <v>0</v>
      </c>
      <c r="T221" s="134">
        <f>SUM(T215:T220)</f>
        <v>0</v>
      </c>
      <c r="U221" s="134">
        <f t="shared" ref="U221:AG221" si="30">SUM(U215:U220)</f>
        <v>0</v>
      </c>
      <c r="V221" s="134">
        <f t="shared" si="30"/>
        <v>0</v>
      </c>
      <c r="W221" s="134">
        <f t="shared" si="30"/>
        <v>0</v>
      </c>
      <c r="X221" s="134">
        <f t="shared" si="30"/>
        <v>0</v>
      </c>
      <c r="Y221" s="134">
        <f t="shared" si="30"/>
        <v>0</v>
      </c>
      <c r="Z221" s="134">
        <f t="shared" si="30"/>
        <v>0</v>
      </c>
      <c r="AA221" s="134">
        <f t="shared" si="30"/>
        <v>0</v>
      </c>
      <c r="AB221" s="134">
        <f t="shared" si="30"/>
        <v>0</v>
      </c>
      <c r="AC221" s="134">
        <f t="shared" si="30"/>
        <v>0</v>
      </c>
      <c r="AD221" s="134">
        <f t="shared" si="30"/>
        <v>0</v>
      </c>
      <c r="AE221" s="134">
        <f t="shared" si="30"/>
        <v>0</v>
      </c>
      <c r="AF221" s="134">
        <f t="shared" si="30"/>
        <v>0</v>
      </c>
      <c r="AG221" s="144">
        <f t="shared" si="30"/>
        <v>8.56</v>
      </c>
      <c r="AH221" s="53"/>
      <c r="AI221" s="54"/>
    </row>
    <row r="222" spans="1:37" ht="15.75" thickBot="1" x14ac:dyDescent="0.3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137"/>
      <c r="AH222" s="47"/>
    </row>
    <row r="223" spans="1:37" x14ac:dyDescent="0.25">
      <c r="A223" s="145" t="s">
        <v>224</v>
      </c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7"/>
      <c r="AG223" s="47"/>
      <c r="AH223" s="53"/>
      <c r="AI223" s="54"/>
    </row>
    <row r="224" spans="1:37" x14ac:dyDescent="0.25">
      <c r="A224" s="148" t="s">
        <v>225</v>
      </c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50"/>
      <c r="AG224" s="151"/>
      <c r="AH224" s="53"/>
      <c r="AI224" s="54"/>
    </row>
    <row r="225" spans="1:50" x14ac:dyDescent="0.25">
      <c r="A225" s="152" t="s">
        <v>226</v>
      </c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4"/>
      <c r="AG225" s="151"/>
      <c r="AH225" s="53"/>
      <c r="AI225" s="54"/>
    </row>
    <row r="226" spans="1:50" x14ac:dyDescent="0.25">
      <c r="A226" s="152" t="s">
        <v>227</v>
      </c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4"/>
      <c r="AG226" s="151"/>
      <c r="AH226" s="53"/>
      <c r="AI226" s="54"/>
    </row>
    <row r="227" spans="1:50" ht="15.75" thickBot="1" x14ac:dyDescent="0.3">
      <c r="A227" s="155" t="s">
        <v>228</v>
      </c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7"/>
      <c r="AG227" s="151"/>
      <c r="AH227" s="53"/>
      <c r="AI227" s="54"/>
    </row>
    <row r="228" spans="1:50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50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50" x14ac:dyDescent="0.25">
      <c r="A230" s="158" t="s">
        <v>229</v>
      </c>
      <c r="B230" s="159">
        <f>MAX(G79:N79)</f>
        <v>1919.7399999999998</v>
      </c>
      <c r="C230" s="160">
        <f>INDEX(G9:N9,1,MATCH(MAX(G79:N79),G79:N79,0))</f>
        <v>0.33333333333333331</v>
      </c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50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161" t="str">
        <f ca="1">MID(CELL("filename",C7),FIND("]",CELL("filename",C7))+1,600)</f>
        <v>1</v>
      </c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50" x14ac:dyDescent="0.25">
      <c r="A232" s="377" t="s">
        <v>230</v>
      </c>
      <c r="B232" s="377"/>
      <c r="C232" s="47"/>
      <c r="D232" s="161" t="str">
        <f ca="1">"Pie Chart of Daily Peak Demand(Inclusive of Export) of Nepal ("&amp;A4&amp;" "&amp;B4&amp;")"</f>
        <v>Pie Chart of Daily Peak Demand(Inclusive of Export) of Nepal (Nepali Date: 2079/05/1)</v>
      </c>
      <c r="E232" s="47"/>
      <c r="F232" s="47"/>
      <c r="G232" s="161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161" t="str">
        <f ca="1">"Daily Load Curve(Excluding of Export) of Nepal ("&amp;A4&amp;" "&amp;B4&amp;")"</f>
        <v>Daily Load Curve(Excluding of Export) of Nepal (Nepali Date: 2079/05/1)</v>
      </c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50" ht="12.75" customHeight="1" thickBot="1" x14ac:dyDescent="0.3">
      <c r="A233" s="162" t="s">
        <v>7</v>
      </c>
      <c r="B233" s="163"/>
      <c r="C233" s="47"/>
      <c r="D233" s="164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50" ht="15.75" thickTop="1" x14ac:dyDescent="0.25">
      <c r="A234" s="162" t="s">
        <v>231</v>
      </c>
      <c r="B234" s="163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165" t="s">
        <v>232</v>
      </c>
      <c r="T234" s="166">
        <v>0</v>
      </c>
      <c r="U234" s="167">
        <v>4.1666666666666664E-2</v>
      </c>
      <c r="V234" s="168">
        <v>8.3333333333333301E-2</v>
      </c>
      <c r="W234" s="168">
        <v>0.125</v>
      </c>
      <c r="X234" s="168">
        <v>0.16666666666666699</v>
      </c>
      <c r="Y234" s="168">
        <v>0.20833333333333301</v>
      </c>
      <c r="Z234" s="168">
        <v>0.22916666666666666</v>
      </c>
      <c r="AA234" s="168">
        <v>0.25</v>
      </c>
      <c r="AB234" s="168">
        <v>0.27083333333333331</v>
      </c>
      <c r="AC234" s="168">
        <v>0.29166666666666669</v>
      </c>
      <c r="AD234" s="168">
        <v>0.3125</v>
      </c>
      <c r="AE234" s="169">
        <v>0.33333333333333331</v>
      </c>
      <c r="AF234" s="169">
        <v>0.375</v>
      </c>
      <c r="AG234" s="169">
        <v>0.41666666666666702</v>
      </c>
      <c r="AH234" s="169">
        <v>0.45833333333333298</v>
      </c>
      <c r="AI234" s="169">
        <v>0.5</v>
      </c>
      <c r="AJ234" s="169">
        <v>0.54166666666666696</v>
      </c>
      <c r="AK234" s="169">
        <v>0.58333333333333304</v>
      </c>
      <c r="AL234" s="169">
        <v>0.625</v>
      </c>
      <c r="AM234" s="169">
        <v>0.66666666666666696</v>
      </c>
      <c r="AN234" s="169">
        <v>0.70833333333333304</v>
      </c>
      <c r="AO234" s="169">
        <v>0.72916666666666663</v>
      </c>
      <c r="AP234" s="169">
        <v>0.75</v>
      </c>
      <c r="AQ234" s="169">
        <v>0.77083333333333337</v>
      </c>
      <c r="AR234" s="169">
        <v>0.79166666666666663</v>
      </c>
      <c r="AS234" s="169">
        <v>0.8125</v>
      </c>
      <c r="AT234" s="168">
        <v>0.83333333333333337</v>
      </c>
      <c r="AU234" s="168">
        <v>0.85416666666666663</v>
      </c>
      <c r="AV234" s="168">
        <v>0.875</v>
      </c>
      <c r="AW234" s="168">
        <v>0.91666666666666696</v>
      </c>
      <c r="AX234" s="168">
        <v>0.95833333333333304</v>
      </c>
    </row>
    <row r="235" spans="1:50" x14ac:dyDescent="0.25">
      <c r="A235" s="162" t="s">
        <v>233</v>
      </c>
      <c r="B235" s="163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 t="s">
        <v>234</v>
      </c>
      <c r="T235" s="170">
        <f t="shared" ref="T235:AX235" si="31">B79</f>
        <v>1876.74</v>
      </c>
      <c r="U235" s="170">
        <f t="shared" si="31"/>
        <v>1852.6399999999999</v>
      </c>
      <c r="V235" s="170">
        <f t="shared" si="31"/>
        <v>1844.24</v>
      </c>
      <c r="W235" s="170">
        <f t="shared" si="31"/>
        <v>1840.34</v>
      </c>
      <c r="X235" s="170">
        <f t="shared" si="31"/>
        <v>1836.1399999999999</v>
      </c>
      <c r="Y235" s="170">
        <f t="shared" si="31"/>
        <v>1833.74</v>
      </c>
      <c r="Z235" s="170">
        <f t="shared" si="31"/>
        <v>1830.74</v>
      </c>
      <c r="AA235" s="170">
        <f t="shared" si="31"/>
        <v>1819.74</v>
      </c>
      <c r="AB235" s="170">
        <f t="shared" si="31"/>
        <v>1836.44</v>
      </c>
      <c r="AC235" s="170">
        <f t="shared" si="31"/>
        <v>1842.94</v>
      </c>
      <c r="AD235" s="170">
        <f t="shared" si="31"/>
        <v>1873.7400000000002</v>
      </c>
      <c r="AE235" s="170">
        <f t="shared" si="31"/>
        <v>1919.7399999999998</v>
      </c>
      <c r="AF235" s="170">
        <f t="shared" si="31"/>
        <v>1915.14</v>
      </c>
      <c r="AG235" s="170">
        <f t="shared" si="31"/>
        <v>1903.94</v>
      </c>
      <c r="AH235" s="170">
        <f t="shared" si="31"/>
        <v>1943.3400000000001</v>
      </c>
      <c r="AI235" s="170">
        <f t="shared" si="31"/>
        <v>1953.44</v>
      </c>
      <c r="AJ235" s="170">
        <f t="shared" si="31"/>
        <v>1935.84</v>
      </c>
      <c r="AK235" s="170">
        <f t="shared" si="31"/>
        <v>1930.34</v>
      </c>
      <c r="AL235" s="170">
        <f t="shared" si="31"/>
        <v>1946.84</v>
      </c>
      <c r="AM235" s="170">
        <f t="shared" si="31"/>
        <v>1928.64</v>
      </c>
      <c r="AN235" s="170">
        <f t="shared" si="31"/>
        <v>1899.64</v>
      </c>
      <c r="AO235" s="170">
        <f t="shared" si="31"/>
        <v>1899.24</v>
      </c>
      <c r="AP235" s="170">
        <f t="shared" si="31"/>
        <v>1884.04</v>
      </c>
      <c r="AQ235" s="170">
        <f t="shared" si="31"/>
        <v>1872.1399999999999</v>
      </c>
      <c r="AR235" s="170">
        <f t="shared" si="31"/>
        <v>1950.54</v>
      </c>
      <c r="AS235" s="170">
        <f t="shared" si="31"/>
        <v>1986.5399999999997</v>
      </c>
      <c r="AT235" s="170">
        <f t="shared" si="31"/>
        <v>1958.2400000000002</v>
      </c>
      <c r="AU235" s="170">
        <f t="shared" si="31"/>
        <v>1997.1399999999999</v>
      </c>
      <c r="AV235" s="170">
        <f t="shared" si="31"/>
        <v>1985.1399999999999</v>
      </c>
      <c r="AW235" s="170">
        <f t="shared" si="31"/>
        <v>1989.6399999999999</v>
      </c>
      <c r="AX235" s="170">
        <f t="shared" si="31"/>
        <v>1894.6399999999999</v>
      </c>
    </row>
    <row r="236" spans="1:50" x14ac:dyDescent="0.25">
      <c r="A236" s="162" t="s">
        <v>235</v>
      </c>
      <c r="B236" s="163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</row>
    <row r="237" spans="1:50" x14ac:dyDescent="0.25">
      <c r="A237" s="162" t="s">
        <v>236</v>
      </c>
      <c r="B237" s="163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50" x14ac:dyDescent="0.25">
      <c r="A238" s="162" t="s">
        <v>237</v>
      </c>
      <c r="B238" s="163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50" x14ac:dyDescent="0.25">
      <c r="A239" s="162" t="s">
        <v>238</v>
      </c>
      <c r="B239" s="171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50" x14ac:dyDescent="0.25">
      <c r="A240" s="162" t="s">
        <v>239</v>
      </c>
      <c r="B240" s="163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1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1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1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1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1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</row>
    <row r="246" spans="1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</row>
    <row r="247" spans="1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J247"/>
    </row>
    <row r="248" spans="1:36" x14ac:dyDescent="0.25"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J248"/>
    </row>
    <row r="249" spans="1:36" x14ac:dyDescent="0.25"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J249"/>
    </row>
    <row r="250" spans="1:36" x14ac:dyDescent="0.25"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J250"/>
    </row>
    <row r="251" spans="1:36" x14ac:dyDescent="0.25"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J251"/>
    </row>
    <row r="252" spans="1:36" x14ac:dyDescent="0.25"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J252"/>
    </row>
    <row r="253" spans="1:36" x14ac:dyDescent="0.25"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J253"/>
    </row>
    <row r="254" spans="1:36" x14ac:dyDescent="0.25"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J254"/>
    </row>
    <row r="255" spans="1:36" x14ac:dyDescent="0.25"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J255"/>
    </row>
    <row r="256" spans="1:36" x14ac:dyDescent="0.25">
      <c r="A256" s="172" t="s">
        <v>224</v>
      </c>
      <c r="B256" s="173">
        <f t="shared" ref="B256:AE256" si="32">C220</f>
        <v>0.64</v>
      </c>
      <c r="C256" s="173">
        <f t="shared" si="32"/>
        <v>0.64</v>
      </c>
      <c r="D256" s="173">
        <f t="shared" si="32"/>
        <v>0.64</v>
      </c>
      <c r="E256" s="173">
        <f t="shared" si="32"/>
        <v>0.64</v>
      </c>
      <c r="F256" s="173">
        <f t="shared" si="32"/>
        <v>0.64</v>
      </c>
      <c r="G256" s="173">
        <f t="shared" si="32"/>
        <v>0.64</v>
      </c>
      <c r="H256" s="173">
        <f t="shared" si="32"/>
        <v>0.64</v>
      </c>
      <c r="I256" s="173">
        <f t="shared" si="32"/>
        <v>0.64</v>
      </c>
      <c r="J256" s="173">
        <f t="shared" si="32"/>
        <v>0.64</v>
      </c>
      <c r="K256" s="173">
        <f t="shared" si="32"/>
        <v>0.64</v>
      </c>
      <c r="L256" s="173">
        <f t="shared" si="32"/>
        <v>0.64</v>
      </c>
      <c r="M256" s="173">
        <f t="shared" si="32"/>
        <v>0.64</v>
      </c>
      <c r="N256" s="173">
        <f t="shared" si="32"/>
        <v>0.64</v>
      </c>
      <c r="O256" s="173">
        <f t="shared" si="32"/>
        <v>0.64</v>
      </c>
      <c r="P256" s="173">
        <f t="shared" si="32"/>
        <v>0</v>
      </c>
      <c r="Q256" s="173">
        <f t="shared" si="32"/>
        <v>0</v>
      </c>
      <c r="R256" s="173">
        <f t="shared" si="32"/>
        <v>0</v>
      </c>
      <c r="S256" s="173">
        <f t="shared" si="32"/>
        <v>0</v>
      </c>
      <c r="T256" s="173">
        <f t="shared" si="32"/>
        <v>0</v>
      </c>
      <c r="U256" s="173">
        <f t="shared" si="32"/>
        <v>0</v>
      </c>
      <c r="V256" s="173">
        <f t="shared" si="32"/>
        <v>0</v>
      </c>
      <c r="W256" s="173">
        <f t="shared" si="32"/>
        <v>0</v>
      </c>
      <c r="X256" s="173">
        <f t="shared" si="32"/>
        <v>0</v>
      </c>
      <c r="Y256" s="173">
        <f t="shared" si="32"/>
        <v>0</v>
      </c>
      <c r="Z256" s="173">
        <f t="shared" si="32"/>
        <v>0</v>
      </c>
      <c r="AA256" s="173">
        <f t="shared" si="32"/>
        <v>0</v>
      </c>
      <c r="AB256" s="173">
        <f t="shared" si="32"/>
        <v>0</v>
      </c>
      <c r="AC256" s="173">
        <f t="shared" si="32"/>
        <v>0</v>
      </c>
      <c r="AD256" s="173">
        <f t="shared" si="32"/>
        <v>0</v>
      </c>
      <c r="AE256" s="173">
        <f t="shared" si="32"/>
        <v>0</v>
      </c>
      <c r="AF256" s="173">
        <f>B220</f>
        <v>0</v>
      </c>
      <c r="AG256" s="47"/>
      <c r="AH256" s="47"/>
      <c r="AJ256"/>
    </row>
    <row r="257" spans="1:36" x14ac:dyDescent="0.25">
      <c r="A257" s="174" t="str">
        <f>A224</f>
        <v>KGA</v>
      </c>
      <c r="B257" s="174" t="str">
        <f>IF(B224&lt;100,"",B224-520)</f>
        <v/>
      </c>
      <c r="C257" s="174" t="str">
        <f t="shared" ref="C257:AF257" si="33">IF(C224&lt;100,"",C224-520)</f>
        <v/>
      </c>
      <c r="D257" s="174" t="str">
        <f t="shared" si="33"/>
        <v/>
      </c>
      <c r="E257" s="174" t="str">
        <f t="shared" si="33"/>
        <v/>
      </c>
      <c r="F257" s="174" t="str">
        <f t="shared" si="33"/>
        <v/>
      </c>
      <c r="G257" s="174" t="str">
        <f t="shared" si="33"/>
        <v/>
      </c>
      <c r="H257" s="174" t="str">
        <f t="shared" si="33"/>
        <v/>
      </c>
      <c r="I257" s="174" t="str">
        <f t="shared" si="33"/>
        <v/>
      </c>
      <c r="J257" s="174" t="str">
        <f t="shared" si="33"/>
        <v/>
      </c>
      <c r="K257" s="174" t="str">
        <f t="shared" si="33"/>
        <v/>
      </c>
      <c r="L257" s="174" t="str">
        <f t="shared" si="33"/>
        <v/>
      </c>
      <c r="M257" s="174" t="str">
        <f t="shared" si="33"/>
        <v/>
      </c>
      <c r="N257" s="174" t="str">
        <f t="shared" si="33"/>
        <v/>
      </c>
      <c r="O257" s="174" t="str">
        <f t="shared" si="33"/>
        <v/>
      </c>
      <c r="P257" s="174" t="str">
        <f t="shared" si="33"/>
        <v/>
      </c>
      <c r="Q257" s="174" t="str">
        <f t="shared" si="33"/>
        <v/>
      </c>
      <c r="R257" s="174" t="str">
        <f t="shared" si="33"/>
        <v/>
      </c>
      <c r="S257" s="174" t="str">
        <f t="shared" si="33"/>
        <v/>
      </c>
      <c r="T257" s="174" t="str">
        <f t="shared" si="33"/>
        <v/>
      </c>
      <c r="U257" s="174" t="str">
        <f t="shared" si="33"/>
        <v/>
      </c>
      <c r="V257" s="174" t="str">
        <f t="shared" si="33"/>
        <v/>
      </c>
      <c r="W257" s="174" t="str">
        <f t="shared" si="33"/>
        <v/>
      </c>
      <c r="X257" s="174" t="str">
        <f t="shared" si="33"/>
        <v/>
      </c>
      <c r="Y257" s="174" t="str">
        <f t="shared" si="33"/>
        <v/>
      </c>
      <c r="Z257" s="174" t="str">
        <f t="shared" si="33"/>
        <v/>
      </c>
      <c r="AA257" s="174" t="str">
        <f t="shared" si="33"/>
        <v/>
      </c>
      <c r="AB257" s="174" t="str">
        <f t="shared" si="33"/>
        <v/>
      </c>
      <c r="AC257" s="174" t="str">
        <f t="shared" si="33"/>
        <v/>
      </c>
      <c r="AD257" s="174" t="str">
        <f t="shared" si="33"/>
        <v/>
      </c>
      <c r="AE257" s="174" t="str">
        <f t="shared" si="33"/>
        <v/>
      </c>
      <c r="AF257" s="174" t="str">
        <f t="shared" si="33"/>
        <v/>
      </c>
      <c r="AG257" s="47"/>
      <c r="AH257" s="47"/>
      <c r="AJ257"/>
    </row>
    <row r="258" spans="1:36" x14ac:dyDescent="0.25">
      <c r="A258" s="174" t="str">
        <f>A225</f>
        <v>MMRS</v>
      </c>
      <c r="B258" s="174" t="str">
        <f t="shared" ref="B258:AF258" si="34">IF(B225&lt;100,"",B225-620)</f>
        <v/>
      </c>
      <c r="C258" s="174" t="str">
        <f t="shared" si="34"/>
        <v/>
      </c>
      <c r="D258" s="174" t="str">
        <f t="shared" si="34"/>
        <v/>
      </c>
      <c r="E258" s="174" t="str">
        <f t="shared" si="34"/>
        <v/>
      </c>
      <c r="F258" s="174" t="str">
        <f t="shared" si="34"/>
        <v/>
      </c>
      <c r="G258" s="174" t="str">
        <f t="shared" si="34"/>
        <v/>
      </c>
      <c r="H258" s="174" t="str">
        <f t="shared" si="34"/>
        <v/>
      </c>
      <c r="I258" s="174" t="str">
        <f t="shared" si="34"/>
        <v/>
      </c>
      <c r="J258" s="174" t="str">
        <f t="shared" si="34"/>
        <v/>
      </c>
      <c r="K258" s="174" t="str">
        <f t="shared" si="34"/>
        <v/>
      </c>
      <c r="L258" s="174" t="str">
        <f t="shared" si="34"/>
        <v/>
      </c>
      <c r="M258" s="174" t="str">
        <f t="shared" si="34"/>
        <v/>
      </c>
      <c r="N258" s="174" t="str">
        <f t="shared" si="34"/>
        <v/>
      </c>
      <c r="O258" s="174" t="str">
        <f t="shared" si="34"/>
        <v/>
      </c>
      <c r="P258" s="174" t="str">
        <f t="shared" si="34"/>
        <v/>
      </c>
      <c r="Q258" s="174" t="str">
        <f t="shared" si="34"/>
        <v/>
      </c>
      <c r="R258" s="174" t="str">
        <f t="shared" si="34"/>
        <v/>
      </c>
      <c r="S258" s="174" t="str">
        <f t="shared" si="34"/>
        <v/>
      </c>
      <c r="T258" s="174" t="str">
        <f t="shared" si="34"/>
        <v/>
      </c>
      <c r="U258" s="174" t="str">
        <f t="shared" si="34"/>
        <v/>
      </c>
      <c r="V258" s="174" t="str">
        <f t="shared" si="34"/>
        <v/>
      </c>
      <c r="W258" s="174" t="str">
        <f t="shared" si="34"/>
        <v/>
      </c>
      <c r="X258" s="174" t="str">
        <f t="shared" si="34"/>
        <v/>
      </c>
      <c r="Y258" s="174" t="str">
        <f t="shared" si="34"/>
        <v/>
      </c>
      <c r="Z258" s="174" t="str">
        <f t="shared" si="34"/>
        <v/>
      </c>
      <c r="AA258" s="174" t="str">
        <f t="shared" si="34"/>
        <v/>
      </c>
      <c r="AB258" s="174" t="str">
        <f t="shared" si="34"/>
        <v/>
      </c>
      <c r="AC258" s="174" t="str">
        <f t="shared" si="34"/>
        <v/>
      </c>
      <c r="AD258" s="174" t="str">
        <f t="shared" si="34"/>
        <v/>
      </c>
      <c r="AE258" s="174" t="str">
        <f t="shared" si="34"/>
        <v/>
      </c>
      <c r="AF258" s="174" t="str">
        <f t="shared" si="34"/>
        <v/>
      </c>
      <c r="AG258" s="47"/>
      <c r="AH258" s="47"/>
      <c r="AJ258"/>
    </row>
    <row r="259" spans="1:36" x14ac:dyDescent="0.25">
      <c r="A259" s="174" t="str">
        <f>A226</f>
        <v>MRS</v>
      </c>
      <c r="B259" s="174" t="str">
        <f t="shared" ref="B259:AF259" si="35">IF(B226&lt;100,"",B226-330)</f>
        <v/>
      </c>
      <c r="C259" s="174" t="str">
        <f t="shared" si="35"/>
        <v/>
      </c>
      <c r="D259" s="174" t="str">
        <f t="shared" si="35"/>
        <v/>
      </c>
      <c r="E259" s="174" t="str">
        <f t="shared" si="35"/>
        <v/>
      </c>
      <c r="F259" s="174" t="str">
        <f t="shared" si="35"/>
        <v/>
      </c>
      <c r="G259" s="174" t="str">
        <f t="shared" si="35"/>
        <v/>
      </c>
      <c r="H259" s="174" t="str">
        <f t="shared" si="35"/>
        <v/>
      </c>
      <c r="I259" s="174" t="str">
        <f t="shared" si="35"/>
        <v/>
      </c>
      <c r="J259" s="174" t="str">
        <f t="shared" si="35"/>
        <v/>
      </c>
      <c r="K259" s="174" t="str">
        <f t="shared" si="35"/>
        <v/>
      </c>
      <c r="L259" s="174" t="str">
        <f t="shared" si="35"/>
        <v/>
      </c>
      <c r="M259" s="174" t="str">
        <f t="shared" si="35"/>
        <v/>
      </c>
      <c r="N259" s="174" t="str">
        <f t="shared" si="35"/>
        <v/>
      </c>
      <c r="O259" s="174" t="str">
        <f t="shared" si="35"/>
        <v/>
      </c>
      <c r="P259" s="174" t="str">
        <f t="shared" si="35"/>
        <v/>
      </c>
      <c r="Q259" s="174" t="str">
        <f t="shared" si="35"/>
        <v/>
      </c>
      <c r="R259" s="174" t="str">
        <f t="shared" si="35"/>
        <v/>
      </c>
      <c r="S259" s="174" t="str">
        <f t="shared" si="35"/>
        <v/>
      </c>
      <c r="T259" s="174" t="str">
        <f t="shared" si="35"/>
        <v/>
      </c>
      <c r="U259" s="174" t="str">
        <f t="shared" si="35"/>
        <v/>
      </c>
      <c r="V259" s="174" t="str">
        <f t="shared" si="35"/>
        <v/>
      </c>
      <c r="W259" s="174" t="str">
        <f t="shared" si="35"/>
        <v/>
      </c>
      <c r="X259" s="174" t="str">
        <f t="shared" si="35"/>
        <v/>
      </c>
      <c r="Y259" s="174" t="str">
        <f t="shared" si="35"/>
        <v/>
      </c>
      <c r="Z259" s="174" t="str">
        <f t="shared" si="35"/>
        <v/>
      </c>
      <c r="AA259" s="174" t="str">
        <f t="shared" si="35"/>
        <v/>
      </c>
      <c r="AB259" s="174" t="str">
        <f t="shared" si="35"/>
        <v/>
      </c>
      <c r="AC259" s="174" t="str">
        <f t="shared" si="35"/>
        <v/>
      </c>
      <c r="AD259" s="174" t="str">
        <f t="shared" si="35"/>
        <v/>
      </c>
      <c r="AE259" s="174" t="str">
        <f t="shared" si="35"/>
        <v/>
      </c>
      <c r="AF259" s="174" t="str">
        <f t="shared" si="35"/>
        <v/>
      </c>
      <c r="AG259" s="47"/>
      <c r="AH259" s="47"/>
      <c r="AJ259"/>
    </row>
    <row r="260" spans="1:36" x14ac:dyDescent="0.25">
      <c r="A260" s="174" t="str">
        <f>A227</f>
        <v>KL 1</v>
      </c>
      <c r="B260" s="174" t="str">
        <f>IF(B227&lt;100,"",B227-1500)</f>
        <v/>
      </c>
      <c r="C260" s="174" t="str">
        <f t="shared" ref="C260:AF260" si="36">IF(C227&lt;100,"",C227-1500)</f>
        <v/>
      </c>
      <c r="D260" s="174" t="str">
        <f t="shared" si="36"/>
        <v/>
      </c>
      <c r="E260" s="174" t="str">
        <f t="shared" si="36"/>
        <v/>
      </c>
      <c r="F260" s="174" t="str">
        <f t="shared" si="36"/>
        <v/>
      </c>
      <c r="G260" s="174" t="str">
        <f t="shared" si="36"/>
        <v/>
      </c>
      <c r="H260" s="174" t="str">
        <f t="shared" si="36"/>
        <v/>
      </c>
      <c r="I260" s="174" t="str">
        <f t="shared" si="36"/>
        <v/>
      </c>
      <c r="J260" s="174" t="str">
        <f t="shared" si="36"/>
        <v/>
      </c>
      <c r="K260" s="174" t="str">
        <f t="shared" si="36"/>
        <v/>
      </c>
      <c r="L260" s="174" t="str">
        <f t="shared" si="36"/>
        <v/>
      </c>
      <c r="M260" s="174" t="str">
        <f t="shared" si="36"/>
        <v/>
      </c>
      <c r="N260" s="174" t="str">
        <f t="shared" si="36"/>
        <v/>
      </c>
      <c r="O260" s="174" t="str">
        <f t="shared" si="36"/>
        <v/>
      </c>
      <c r="P260" s="174" t="str">
        <f t="shared" si="36"/>
        <v/>
      </c>
      <c r="Q260" s="174" t="str">
        <f t="shared" si="36"/>
        <v/>
      </c>
      <c r="R260" s="174" t="str">
        <f t="shared" si="36"/>
        <v/>
      </c>
      <c r="S260" s="174" t="str">
        <f t="shared" si="36"/>
        <v/>
      </c>
      <c r="T260" s="174" t="str">
        <f t="shared" si="36"/>
        <v/>
      </c>
      <c r="U260" s="174" t="str">
        <f t="shared" si="36"/>
        <v/>
      </c>
      <c r="V260" s="174" t="str">
        <f t="shared" si="36"/>
        <v/>
      </c>
      <c r="W260" s="174" t="str">
        <f t="shared" si="36"/>
        <v/>
      </c>
      <c r="X260" s="174" t="str">
        <f t="shared" si="36"/>
        <v/>
      </c>
      <c r="Y260" s="174" t="str">
        <f t="shared" si="36"/>
        <v/>
      </c>
      <c r="Z260" s="174" t="str">
        <f t="shared" si="36"/>
        <v/>
      </c>
      <c r="AA260" s="174" t="str">
        <f t="shared" si="36"/>
        <v/>
      </c>
      <c r="AB260" s="174" t="str">
        <f t="shared" si="36"/>
        <v/>
      </c>
      <c r="AC260" s="174" t="str">
        <f t="shared" si="36"/>
        <v/>
      </c>
      <c r="AD260" s="174" t="str">
        <f t="shared" si="36"/>
        <v/>
      </c>
      <c r="AE260" s="174" t="str">
        <f t="shared" si="36"/>
        <v/>
      </c>
      <c r="AF260" s="174" t="str">
        <f t="shared" si="36"/>
        <v/>
      </c>
      <c r="AG260" s="47"/>
      <c r="AH260" s="47"/>
      <c r="AJ260"/>
    </row>
    <row r="261" spans="1:36" x14ac:dyDescent="0.25"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J261"/>
    </row>
    <row r="262" spans="1:36" x14ac:dyDescent="0.25"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J262"/>
    </row>
    <row r="263" spans="1:36" x14ac:dyDescent="0.25"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J263"/>
    </row>
    <row r="264" spans="1:36" x14ac:dyDescent="0.25"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J264"/>
    </row>
    <row r="265" spans="1:36" x14ac:dyDescent="0.25"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J265"/>
    </row>
    <row r="266" spans="1:36" x14ac:dyDescent="0.25"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J266"/>
    </row>
    <row r="267" spans="1:36" x14ac:dyDescent="0.25"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J267"/>
    </row>
    <row r="491" spans="36:38" x14ac:dyDescent="0.25">
      <c r="AK491" s="1"/>
    </row>
    <row r="492" spans="36:38" x14ac:dyDescent="0.25">
      <c r="AK492" s="1"/>
      <c r="AL492" s="1"/>
    </row>
    <row r="493" spans="36:38" x14ac:dyDescent="0.25">
      <c r="AJ493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8386" priority="233">
      <formula>B$9&gt;=20/24</formula>
    </cfRule>
    <cfRule type="expression" dxfId="8385" priority="234">
      <formula>AND(B$9&gt;=14/24,B$9&lt;20/24)</formula>
    </cfRule>
    <cfRule type="expression" dxfId="8384" priority="235">
      <formula>AND(B$9&gt;=8/24,B$9&lt;14/24)</formula>
    </cfRule>
    <cfRule type="expression" dxfId="8383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8382" priority="228">
      <formula>S$9&gt;=20/24</formula>
    </cfRule>
    <cfRule type="expression" dxfId="8381" priority="229">
      <formula>AND(S$9&gt;=14/24,S$9&lt;20/24)</formula>
    </cfRule>
    <cfRule type="expression" dxfId="8380" priority="230">
      <formula>AND(S$9&gt;=8/24,S$9&lt;14/24)</formula>
    </cfRule>
    <cfRule type="expression" dxfId="8379" priority="231">
      <formula>S$9&lt;8/24</formula>
    </cfRule>
  </conditionalFormatting>
  <conditionalFormatting sqref="AG55 S37:AF37 B12:B16 C11:AF16 B35:AF35">
    <cfRule type="expression" dxfId="8378" priority="227">
      <formula>B11&gt;$AG11</formula>
    </cfRule>
  </conditionalFormatting>
  <conditionalFormatting sqref="A89:A102 A11:A14 A49:A76 A85:A87 A191:A221 A16:A30 A36:A47 A107:A178 A32:A33 A81:A83 A78:A79">
    <cfRule type="expression" dxfId="8377" priority="226">
      <formula>$AH11=0</formula>
    </cfRule>
  </conditionalFormatting>
  <conditionalFormatting sqref="A103">
    <cfRule type="expression" dxfId="8376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8375" priority="223">
      <formula>$AH35=0</formula>
    </cfRule>
  </conditionalFormatting>
  <conditionalFormatting sqref="A88">
    <cfRule type="expression" dxfId="8374" priority="222">
      <formula>$AH88=0</formula>
    </cfRule>
  </conditionalFormatting>
  <conditionalFormatting sqref="A15">
    <cfRule type="expression" dxfId="8373" priority="221">
      <formula>$AH15=0</formula>
    </cfRule>
  </conditionalFormatting>
  <conditionalFormatting sqref="A185:A190">
    <cfRule type="expression" dxfId="8372" priority="220">
      <formula>$AH185=0</formula>
    </cfRule>
  </conditionalFormatting>
  <conditionalFormatting sqref="A179:A184">
    <cfRule type="expression" dxfId="8371" priority="219">
      <formula>$AH179=0</formula>
    </cfRule>
  </conditionalFormatting>
  <conditionalFormatting sqref="A48">
    <cfRule type="expression" dxfId="8370" priority="218">
      <formula>$AH48=0</formula>
    </cfRule>
  </conditionalFormatting>
  <conditionalFormatting sqref="A84">
    <cfRule type="expression" dxfId="8369" priority="217">
      <formula>$AH84=0</formula>
    </cfRule>
  </conditionalFormatting>
  <conditionalFormatting sqref="C89:AF89">
    <cfRule type="expression" dxfId="8368" priority="213">
      <formula>C$9&gt;=20/24</formula>
    </cfRule>
    <cfRule type="expression" dxfId="8367" priority="214">
      <formula>AND(C$9&gt;=14/24,C$9&lt;20/24)</formula>
    </cfRule>
    <cfRule type="expression" dxfId="8366" priority="215">
      <formula>AND(C$9&gt;=8/24,C$9&lt;14/24)</formula>
    </cfRule>
    <cfRule type="expression" dxfId="8365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364" priority="239">
      <formula>C$9&gt;=20/24</formula>
    </cfRule>
    <cfRule type="expression" dxfId="8363" priority="240">
      <formula>AND(C$9&gt;=14/24,C$9&lt;20/24)</formula>
    </cfRule>
    <cfRule type="expression" dxfId="8362" priority="241">
      <formula>AND(C$9&gt;=8/24,C$9&lt;14/24)</formula>
    </cfRule>
    <cfRule type="expression" dxfId="8361" priority="242">
      <formula>C$9&lt;8/24</formula>
    </cfRule>
  </conditionalFormatting>
  <conditionalFormatting sqref="A222">
    <cfRule type="expression" dxfId="8360" priority="243">
      <formula>$AH222=0</formula>
    </cfRule>
  </conditionalFormatting>
  <conditionalFormatting sqref="AG234">
    <cfRule type="expression" dxfId="8359" priority="244">
      <formula>B$9&gt;=20/24</formula>
    </cfRule>
    <cfRule type="expression" dxfId="8358" priority="245">
      <formula>AND(B$9&gt;=14/24,B$9&lt;20/24)</formula>
    </cfRule>
    <cfRule type="expression" dxfId="8357" priority="246">
      <formula>AND(B$9&gt;=8/24,B$9&lt;14/24)</formula>
    </cfRule>
    <cfRule type="expression" dxfId="8356" priority="247">
      <formula>B$9&lt;8/24</formula>
    </cfRule>
  </conditionalFormatting>
  <conditionalFormatting sqref="S8">
    <cfRule type="expression" dxfId="8355" priority="208">
      <formula>U$9&gt;=20/24</formula>
    </cfRule>
    <cfRule type="expression" dxfId="8354" priority="209">
      <formula>AND(U$9&gt;=14/24,U$9&lt;20/24)</formula>
    </cfRule>
    <cfRule type="expression" dxfId="8353" priority="210">
      <formula>AND(U$9&gt;=8/24,U$9&lt;14/24)</formula>
    </cfRule>
    <cfRule type="expression" dxfId="8352" priority="211">
      <formula>U$9&lt;8/24</formula>
    </cfRule>
  </conditionalFormatting>
  <conditionalFormatting sqref="AB8">
    <cfRule type="expression" dxfId="8351" priority="204">
      <formula>AD$9&gt;=20/24</formula>
    </cfRule>
    <cfRule type="expression" dxfId="8350" priority="205">
      <formula>AND(AD$9&gt;=14/24,AD$9&lt;20/24)</formula>
    </cfRule>
    <cfRule type="expression" dxfId="8349" priority="206">
      <formula>AND(AD$9&gt;=8/24,AD$9&lt;14/24)</formula>
    </cfRule>
    <cfRule type="expression" dxfId="8348" priority="207">
      <formula>AD$9&lt;8/24</formula>
    </cfRule>
  </conditionalFormatting>
  <conditionalFormatting sqref="AH234:AX234">
    <cfRule type="expression" dxfId="8347" priority="248">
      <formula>AG$9&gt;=20/24</formula>
    </cfRule>
    <cfRule type="expression" dxfId="8346" priority="249">
      <formula>AND(AG$9&gt;=14/24,AG$9&lt;20/24)</formula>
    </cfRule>
    <cfRule type="expression" dxfId="8345" priority="250">
      <formula>AND(AG$9&gt;=8/24,AG$9&lt;14/24)</formula>
    </cfRule>
    <cfRule type="expression" dxfId="8344" priority="251">
      <formula>AG$9&lt;8/24</formula>
    </cfRule>
  </conditionalFormatting>
  <conditionalFormatting sqref="T234">
    <cfRule type="expression" dxfId="8343" priority="252">
      <formula>AX$9&gt;=20/24</formula>
    </cfRule>
    <cfRule type="expression" dxfId="8342" priority="253">
      <formula>AND(AX$9&gt;=14/24,AX$9&lt;20/24)</formula>
    </cfRule>
    <cfRule type="expression" dxfId="8341" priority="254">
      <formula>AND(AX$9&gt;=8/24,AX$9&lt;14/24)</formula>
    </cfRule>
    <cfRule type="expression" dxfId="8340" priority="255">
      <formula>AX$9&lt;8/24</formula>
    </cfRule>
  </conditionalFormatting>
  <conditionalFormatting sqref="A104:A105">
    <cfRule type="expression" dxfId="8339" priority="203">
      <formula>$AH104=0</formula>
    </cfRule>
  </conditionalFormatting>
  <conditionalFormatting sqref="C61:AF61 AA36:AF36 E44:AF45">
    <cfRule type="expression" dxfId="8338" priority="199">
      <formula>C$9&gt;=20/24</formula>
    </cfRule>
    <cfRule type="expression" dxfId="8337" priority="200">
      <formula>AND(C$9&gt;=14/24,C$9&lt;20/24)</formula>
    </cfRule>
    <cfRule type="expression" dxfId="8336" priority="201">
      <formula>AND(C$9&gt;=8/24,C$9&lt;14/24)</formula>
    </cfRule>
    <cfRule type="expression" dxfId="8335" priority="202">
      <formula>C$9&lt;8/24</formula>
    </cfRule>
  </conditionalFormatting>
  <conditionalFormatting sqref="E43:AF43">
    <cfRule type="expression" dxfId="8334" priority="195">
      <formula>E$9&gt;=20/24</formula>
    </cfRule>
    <cfRule type="expression" dxfId="8333" priority="196">
      <formula>AND(E$9&gt;=14/24,E$9&lt;20/24)</formula>
    </cfRule>
    <cfRule type="expression" dxfId="8332" priority="197">
      <formula>AND(E$9&gt;=8/24,E$9&lt;14/24)</formula>
    </cfRule>
    <cfRule type="expression" dxfId="8331" priority="198">
      <formula>E$9&lt;8/24</formula>
    </cfRule>
  </conditionalFormatting>
  <conditionalFormatting sqref="AA36:AF36 E43:AF45">
    <cfRule type="expression" dxfId="8330" priority="194">
      <formula>E36&gt;$AG36</formula>
    </cfRule>
  </conditionalFormatting>
  <conditionalFormatting sqref="C86:AF86 C62:L63 C76:AF76 M37:R37 E73:AF75 E64:L67 S62:Y66 M62:R67 E71:S71 S67 T67:Y71 F36:Z36 C90:AF96 E57:AF59 AA12:AF14 AA16:AF16 AA28:AF30 AA18:AF22 AA24:AF26 AA32:AF32 Z62:AF71">
    <cfRule type="expression" dxfId="8329" priority="190">
      <formula>C$9&gt;=20/24</formula>
    </cfRule>
    <cfRule type="expression" dxfId="8328" priority="191">
      <formula>AND(C$9&gt;=14/24,C$9&lt;20/24)</formula>
    </cfRule>
    <cfRule type="expression" dxfId="8327" priority="192">
      <formula>AND(C$9&gt;=8/24,C$9&lt;14/24)</formula>
    </cfRule>
    <cfRule type="expression" dxfId="8326" priority="193">
      <formula>C$9&lt;8/24</formula>
    </cfRule>
  </conditionalFormatting>
  <conditionalFormatting sqref="AA33:AF33">
    <cfRule type="expression" dxfId="8325" priority="186">
      <formula>AA$9&gt;=20/24</formula>
    </cfRule>
    <cfRule type="expression" dxfId="8324" priority="187">
      <formula>AND(AA$9&gt;=14/24,AA$9&lt;20/24)</formula>
    </cfRule>
    <cfRule type="expression" dxfId="8323" priority="188">
      <formula>AND(AA$9&gt;=8/24,AA$9&lt;14/24)</formula>
    </cfRule>
    <cfRule type="expression" dxfId="8322" priority="189">
      <formula>AA$9&lt;8/24</formula>
    </cfRule>
  </conditionalFormatting>
  <conditionalFormatting sqref="C55:AF55 C37:R37 F36:Z36 F46:Z47 E57:AF59 AA18:AF22 AA24:AF30 AA32:AF33">
    <cfRule type="expression" dxfId="8321" priority="185">
      <formula>C18&gt;$AG18</formula>
    </cfRule>
  </conditionalFormatting>
  <conditionalFormatting sqref="AA35:AF35">
    <cfRule type="expression" dxfId="8320" priority="181">
      <formula>AA$9&gt;=20/24</formula>
    </cfRule>
    <cfRule type="expression" dxfId="8319" priority="182">
      <formula>AND(AA$9&gt;=14/24,AA$9&lt;20/24)</formula>
    </cfRule>
    <cfRule type="expression" dxfId="8318" priority="183">
      <formula>AND(AA$9&gt;=8/24,AA$9&lt;14/24)</formula>
    </cfRule>
    <cfRule type="expression" dxfId="8317" priority="184">
      <formula>AA$9&lt;8/24</formula>
    </cfRule>
  </conditionalFormatting>
  <conditionalFormatting sqref="AA15:AF15">
    <cfRule type="expression" dxfId="8316" priority="177">
      <formula>AA$9&gt;=20/24</formula>
    </cfRule>
    <cfRule type="expression" dxfId="8315" priority="178">
      <formula>AND(AA$9&gt;=14/24,AA$9&lt;20/24)</formula>
    </cfRule>
    <cfRule type="expression" dxfId="8314" priority="179">
      <formula>AND(AA$9&gt;=8/24,AA$9&lt;14/24)</formula>
    </cfRule>
    <cfRule type="expression" dxfId="8313" priority="180">
      <formula>AA$9&lt;8/24</formula>
    </cfRule>
  </conditionalFormatting>
  <conditionalFormatting sqref="AA34:AF34">
    <cfRule type="expression" dxfId="8312" priority="173">
      <formula>AA$9&gt;=20/24</formula>
    </cfRule>
    <cfRule type="expression" dxfId="8311" priority="174">
      <formula>AND(AA$9&gt;=14/24,AA$9&lt;20/24)</formula>
    </cfRule>
    <cfRule type="expression" dxfId="8310" priority="175">
      <formula>AND(AA$9&gt;=8/24,AA$9&lt;14/24)</formula>
    </cfRule>
    <cfRule type="expression" dxfId="8309" priority="176">
      <formula>AA$9&lt;8/24</formula>
    </cfRule>
  </conditionalFormatting>
  <conditionalFormatting sqref="AA34:AF34">
    <cfRule type="expression" dxfId="8308" priority="172">
      <formula>AA34&gt;$AG34</formula>
    </cfRule>
  </conditionalFormatting>
  <conditionalFormatting sqref="AA46:AF47">
    <cfRule type="expression" dxfId="8307" priority="164">
      <formula>AA$9&gt;=20/24</formula>
    </cfRule>
    <cfRule type="expression" dxfId="8306" priority="165">
      <formula>AND(AA$9&gt;=14/24,AA$9&lt;20/24)</formula>
    </cfRule>
    <cfRule type="expression" dxfId="8305" priority="166">
      <formula>AND(AA$9&gt;=8/24,AA$9&lt;14/24)</formula>
    </cfRule>
    <cfRule type="expression" dxfId="8304" priority="167">
      <formula>AA$9&lt;8/24</formula>
    </cfRule>
  </conditionalFormatting>
  <conditionalFormatting sqref="AA46:AF47">
    <cfRule type="expression" dxfId="8303" priority="163">
      <formula>AA46&gt;$AG46</formula>
    </cfRule>
  </conditionalFormatting>
  <conditionalFormatting sqref="AA48:AF54">
    <cfRule type="expression" dxfId="8302" priority="159">
      <formula>AA$9&gt;=20/24</formula>
    </cfRule>
    <cfRule type="expression" dxfId="8301" priority="160">
      <formula>AND(AA$9&gt;=14/24,AA$9&lt;20/24)</formula>
    </cfRule>
    <cfRule type="expression" dxfId="8300" priority="161">
      <formula>AND(AA$9&gt;=8/24,AA$9&lt;14/24)</formula>
    </cfRule>
    <cfRule type="expression" dxfId="8299" priority="162">
      <formula>AA$9&lt;8/24</formula>
    </cfRule>
  </conditionalFormatting>
  <conditionalFormatting sqref="AA48:AF54">
    <cfRule type="expression" dxfId="8298" priority="158">
      <formula>AA48&gt;$AG48</formula>
    </cfRule>
  </conditionalFormatting>
  <conditionalFormatting sqref="AA27:AF27">
    <cfRule type="expression" dxfId="8297" priority="154">
      <formula>AA$9&gt;=20/24</formula>
    </cfRule>
    <cfRule type="expression" dxfId="8296" priority="155">
      <formula>AND(AA$9&gt;=14/24,AA$9&lt;20/24)</formula>
    </cfRule>
    <cfRule type="expression" dxfId="8295" priority="156">
      <formula>AND(AA$9&gt;=8/24,AA$9&lt;14/24)</formula>
    </cfRule>
    <cfRule type="expression" dxfId="8294" priority="157">
      <formula>AA$9&lt;8/24</formula>
    </cfRule>
  </conditionalFormatting>
  <conditionalFormatting sqref="C11:Z14 C25:Z25 AA17:AF17 AA23:AF23">
    <cfRule type="expression" dxfId="8293" priority="150">
      <formula>C$9&gt;=20/24</formula>
    </cfRule>
    <cfRule type="expression" dxfId="8292" priority="151">
      <formula>AND(C$9&gt;=14/24,C$9&lt;20/24)</formula>
    </cfRule>
    <cfRule type="expression" dxfId="8291" priority="152">
      <formula>AND(C$9&gt;=8/24,C$9&lt;14/24)</formula>
    </cfRule>
    <cfRule type="expression" dxfId="8290" priority="153">
      <formula>C$9&lt;8/24</formula>
    </cfRule>
  </conditionalFormatting>
  <conditionalFormatting sqref="C25:Z25 AA17:AF17 AA23:AF23">
    <cfRule type="expression" dxfId="8289" priority="145">
      <formula>C17&gt;$AG17</formula>
    </cfRule>
  </conditionalFormatting>
  <conditionalFormatting sqref="C15:Z15">
    <cfRule type="expression" dxfId="8288" priority="137">
      <formula>C$9&gt;=20/24</formula>
    </cfRule>
    <cfRule type="expression" dxfId="8287" priority="138">
      <formula>AND(C$9&gt;=14/24,C$9&lt;20/24)</formula>
    </cfRule>
    <cfRule type="expression" dxfId="8286" priority="139">
      <formula>AND(C$9&gt;=8/24,C$9&lt;14/24)</formula>
    </cfRule>
    <cfRule type="expression" dxfId="8285" priority="140">
      <formula>C$9&lt;8/24</formula>
    </cfRule>
  </conditionalFormatting>
  <conditionalFormatting sqref="C44:D45">
    <cfRule type="expression" dxfId="8284" priority="128">
      <formula>C$9&gt;=20/24</formula>
    </cfRule>
    <cfRule type="expression" dxfId="8283" priority="129">
      <formula>AND(C$9&gt;=14/24,C$9&lt;20/24)</formula>
    </cfRule>
    <cfRule type="expression" dxfId="8282" priority="130">
      <formula>AND(C$9&gt;=8/24,C$9&lt;14/24)</formula>
    </cfRule>
    <cfRule type="expression" dxfId="8281" priority="131">
      <formula>C$9&lt;8/24</formula>
    </cfRule>
  </conditionalFormatting>
  <conditionalFormatting sqref="C43:D43">
    <cfRule type="expression" dxfId="8280" priority="124">
      <formula>C$9&gt;=20/24</formula>
    </cfRule>
    <cfRule type="expression" dxfId="8279" priority="125">
      <formula>AND(C$9&gt;=14/24,C$9&lt;20/24)</formula>
    </cfRule>
    <cfRule type="expression" dxfId="8278" priority="126">
      <formula>AND(C$9&gt;=8/24,C$9&lt;14/24)</formula>
    </cfRule>
    <cfRule type="expression" dxfId="8277" priority="127">
      <formula>C$9&lt;8/24</formula>
    </cfRule>
  </conditionalFormatting>
  <conditionalFormatting sqref="C43:D45">
    <cfRule type="expression" dxfId="8276" priority="123">
      <formula>C43&gt;$AG43</formula>
    </cfRule>
  </conditionalFormatting>
  <conditionalFormatting sqref="E68:S70">
    <cfRule type="expression" dxfId="8275" priority="119">
      <formula>E$9&gt;=20/24</formula>
    </cfRule>
    <cfRule type="expression" dxfId="8274" priority="120">
      <formula>AND(E$9&gt;=14/24,E$9&lt;20/24)</formula>
    </cfRule>
    <cfRule type="expression" dxfId="8273" priority="121">
      <formula>AND(E$9&gt;=8/24,E$9&lt;14/24)</formula>
    </cfRule>
    <cfRule type="expression" dxfId="8272" priority="122">
      <formula>E$9&lt;8/24</formula>
    </cfRule>
  </conditionalFormatting>
  <conditionalFormatting sqref="C46:E47">
    <cfRule type="expression" dxfId="8271" priority="118">
      <formula>C46&gt;$AG46</formula>
    </cfRule>
  </conditionalFormatting>
  <conditionalFormatting sqref="B99:B105 B11 B78:AF78 B87:AF87">
    <cfRule type="expression" dxfId="8270" priority="100">
      <formula>B$9&gt;=20/24</formula>
    </cfRule>
    <cfRule type="expression" dxfId="8269" priority="101">
      <formula>AND(B$9&gt;=14/24,B$9&lt;20/24)</formula>
    </cfRule>
    <cfRule type="expression" dxfId="8268" priority="102">
      <formula>AND(B$9&gt;=8/24,B$9&lt;14/24)</formula>
    </cfRule>
    <cfRule type="expression" dxfId="8267" priority="103">
      <formula>B$9&lt;8/24</formula>
    </cfRule>
  </conditionalFormatting>
  <conditionalFormatting sqref="B37">
    <cfRule type="expression" dxfId="8266" priority="96">
      <formula>B$9&gt;=20/24</formula>
    </cfRule>
    <cfRule type="expression" dxfId="8265" priority="97">
      <formula>AND(B$9&gt;=14/24,B$9&lt;20/24)</formula>
    </cfRule>
    <cfRule type="expression" dxfId="8264" priority="98">
      <formula>AND(B$9&gt;=8/24,B$9&lt;14/24)</formula>
    </cfRule>
    <cfRule type="expression" dxfId="8263" priority="99">
      <formula>B$9&lt;8/24</formula>
    </cfRule>
  </conditionalFormatting>
  <conditionalFormatting sqref="B37 B11">
    <cfRule type="expression" dxfId="8262" priority="95">
      <formula>B11&gt;$AG11</formula>
    </cfRule>
  </conditionalFormatting>
  <conditionalFormatting sqref="B89">
    <cfRule type="expression" dxfId="8261" priority="91">
      <formula>B$9&gt;=20/24</formula>
    </cfRule>
    <cfRule type="expression" dxfId="8260" priority="92">
      <formula>AND(B$9&gt;=14/24,B$9&lt;20/24)</formula>
    </cfRule>
    <cfRule type="expression" dxfId="8259" priority="93">
      <formula>AND(B$9&gt;=8/24,B$9&lt;14/24)</formula>
    </cfRule>
    <cfRule type="expression" dxfId="8258" priority="94">
      <formula>B$9&lt;8/24</formula>
    </cfRule>
  </conditionalFormatting>
  <conditionalFormatting sqref="B44:B45 B61 B36:E36">
    <cfRule type="expression" dxfId="8257" priority="87">
      <formula>B$9&gt;=20/24</formula>
    </cfRule>
    <cfRule type="expression" dxfId="8256" priority="88">
      <formula>AND(B$9&gt;=14/24,B$9&lt;20/24)</formula>
    </cfRule>
    <cfRule type="expression" dxfId="8255" priority="89">
      <formula>AND(B$9&gt;=8/24,B$9&lt;14/24)</formula>
    </cfRule>
    <cfRule type="expression" dxfId="8254" priority="90">
      <formula>B$9&lt;8/24</formula>
    </cfRule>
  </conditionalFormatting>
  <conditionalFormatting sqref="B43">
    <cfRule type="expression" dxfId="8253" priority="83">
      <formula>B$9&gt;=20/24</formula>
    </cfRule>
    <cfRule type="expression" dxfId="8252" priority="84">
      <formula>AND(B$9&gt;=14/24,B$9&lt;20/24)</formula>
    </cfRule>
    <cfRule type="expression" dxfId="8251" priority="85">
      <formula>AND(B$9&gt;=8/24,B$9&lt;14/24)</formula>
    </cfRule>
    <cfRule type="expression" dxfId="8250" priority="86">
      <formula>B$9&lt;8/24</formula>
    </cfRule>
  </conditionalFormatting>
  <conditionalFormatting sqref="B43:B45 B36:E36">
    <cfRule type="expression" dxfId="8249" priority="82">
      <formula>B36&gt;$AG36</formula>
    </cfRule>
  </conditionalFormatting>
  <conditionalFormatting sqref="B90:B96 B12:B14 B24:B26 B57:B60 B62:B71 B73:B77 B79:AF79 B86 C60:AG60 C77:AG77 B88:AF88 C57:D59 C64:D71 C73:D75 B16:Z16 B18:Z22 C24:Z24 B28:Z30 C26:Z26 B32:Z32">
    <cfRule type="expression" dxfId="8248" priority="78">
      <formula>B$9&gt;=20/24</formula>
    </cfRule>
    <cfRule type="expression" dxfId="8247" priority="79">
      <formula>AND(B$9&gt;=14/24,B$9&lt;20/24)</formula>
    </cfRule>
    <cfRule type="expression" dxfId="8246" priority="80">
      <formula>AND(B$9&gt;=8/24,B$9&lt;14/24)</formula>
    </cfRule>
    <cfRule type="expression" dxfId="8245" priority="81">
      <formula>B$9&lt;8/24</formula>
    </cfRule>
  </conditionalFormatting>
  <conditionalFormatting sqref="B33:Z33">
    <cfRule type="expression" dxfId="8244" priority="74">
      <formula>B$9&gt;=20/24</formula>
    </cfRule>
    <cfRule type="expression" dxfId="8243" priority="75">
      <formula>AND(B$9&gt;=14/24,B$9&lt;20/24)</formula>
    </cfRule>
    <cfRule type="expression" dxfId="8242" priority="76">
      <formula>AND(B$9&gt;=8/24,B$9&lt;14/24)</formula>
    </cfRule>
    <cfRule type="expression" dxfId="8241" priority="77">
      <formula>B$9&lt;8/24</formula>
    </cfRule>
  </conditionalFormatting>
  <conditionalFormatting sqref="B46:B47 B24:B30 B55:B60 B38:AG38 C56:AG56 C60:AG60 C57:D59 B18:Z22 C24:Z24 C26:Z30 B32:Z33">
    <cfRule type="expression" dxfId="8240" priority="73">
      <formula>B18&gt;$AG18</formula>
    </cfRule>
  </conditionalFormatting>
  <conditionalFormatting sqref="B35:Z35">
    <cfRule type="expression" dxfId="8239" priority="69">
      <formula>B$9&gt;=20/24</formula>
    </cfRule>
    <cfRule type="expression" dxfId="8238" priority="70">
      <formula>AND(B$9&gt;=14/24,B$9&lt;20/24)</formula>
    </cfRule>
    <cfRule type="expression" dxfId="8237" priority="71">
      <formula>AND(B$9&gt;=8/24,B$9&lt;14/24)</formula>
    </cfRule>
    <cfRule type="expression" dxfId="8236" priority="72">
      <formula>B$9&lt;8/24</formula>
    </cfRule>
  </conditionalFormatting>
  <conditionalFormatting sqref="B15">
    <cfRule type="expression" dxfId="8235" priority="65">
      <formula>B$9&gt;=20/24</formula>
    </cfRule>
    <cfRule type="expression" dxfId="8234" priority="66">
      <formula>AND(B$9&gt;=14/24,B$9&lt;20/24)</formula>
    </cfRule>
    <cfRule type="expression" dxfId="8233" priority="67">
      <formula>AND(B$9&gt;=8/24,B$9&lt;14/24)</formula>
    </cfRule>
    <cfRule type="expression" dxfId="8232" priority="68">
      <formula>B$9&lt;8/24</formula>
    </cfRule>
  </conditionalFormatting>
  <conditionalFormatting sqref="B34:Z34">
    <cfRule type="expression" dxfId="8231" priority="61">
      <formula>B$9&gt;=20/24</formula>
    </cfRule>
    <cfRule type="expression" dxfId="8230" priority="62">
      <formula>AND(B$9&gt;=14/24,B$9&lt;20/24)</formula>
    </cfRule>
    <cfRule type="expression" dxfId="8229" priority="63">
      <formula>AND(B$9&gt;=8/24,B$9&lt;14/24)</formula>
    </cfRule>
    <cfRule type="expression" dxfId="8228" priority="64">
      <formula>B$9&lt;8/24</formula>
    </cfRule>
  </conditionalFormatting>
  <conditionalFormatting sqref="B34:Z34">
    <cfRule type="expression" dxfId="8227" priority="60">
      <formula>B34&gt;$AG34</formula>
    </cfRule>
  </conditionalFormatting>
  <conditionalFormatting sqref="B48:Z54">
    <cfRule type="expression" dxfId="8226" priority="56">
      <formula>B$9&gt;=20/24</formula>
    </cfRule>
    <cfRule type="expression" dxfId="8225" priority="57">
      <formula>AND(B$9&gt;=14/24,B$9&lt;20/24)</formula>
    </cfRule>
    <cfRule type="expression" dxfId="8224" priority="58">
      <formula>AND(B$9&gt;=8/24,B$9&lt;14/24)</formula>
    </cfRule>
    <cfRule type="expression" dxfId="8223" priority="59">
      <formula>B$9&lt;8/24</formula>
    </cfRule>
  </conditionalFormatting>
  <conditionalFormatting sqref="B48:Z54">
    <cfRule type="expression" dxfId="8222" priority="55">
      <formula>B48&gt;$AG48</formula>
    </cfRule>
  </conditionalFormatting>
  <conditionalFormatting sqref="B27:Z27">
    <cfRule type="expression" dxfId="8221" priority="51">
      <formula>B$9&gt;=20/24</formula>
    </cfRule>
    <cfRule type="expression" dxfId="8220" priority="52">
      <formula>AND(B$9&gt;=14/24,B$9&lt;20/24)</formula>
    </cfRule>
    <cfRule type="expression" dxfId="8219" priority="53">
      <formula>AND(B$9&gt;=8/24,B$9&lt;14/24)</formula>
    </cfRule>
    <cfRule type="expression" dxfId="8218" priority="54">
      <formula>B$9&lt;8/24</formula>
    </cfRule>
  </conditionalFormatting>
  <conditionalFormatting sqref="B17:Z17 B23:Z23">
    <cfRule type="expression" dxfId="8217" priority="47">
      <formula>B$9&gt;=20/24</formula>
    </cfRule>
    <cfRule type="expression" dxfId="8216" priority="48">
      <formula>AND(B$9&gt;=14/24,B$9&lt;20/24)</formula>
    </cfRule>
    <cfRule type="expression" dxfId="8215" priority="49">
      <formula>AND(B$9&gt;=8/24,B$9&lt;14/24)</formula>
    </cfRule>
    <cfRule type="expression" dxfId="8214" priority="50">
      <formula>B$9&lt;8/24</formula>
    </cfRule>
  </conditionalFormatting>
  <conditionalFormatting sqref="B17:Z17 B23:Z23">
    <cfRule type="expression" dxfId="8213" priority="46">
      <formula>B17&gt;$AG17</formula>
    </cfRule>
  </conditionalFormatting>
  <conditionalFormatting sqref="A34">
    <cfRule type="expression" dxfId="8212" priority="45">
      <formula>$AH34=0</formula>
    </cfRule>
  </conditionalFormatting>
  <conditionalFormatting sqref="B72:AF72">
    <cfRule type="expression" dxfId="8211" priority="41">
      <formula>B$9&gt;=20/24</formula>
    </cfRule>
    <cfRule type="expression" dxfId="8210" priority="42">
      <formula>AND(B$9&gt;=14/24,B$9&lt;20/24)</formula>
    </cfRule>
    <cfRule type="expression" dxfId="8209" priority="43">
      <formula>AND(B$9&gt;=8/24,B$9&lt;14/24)</formula>
    </cfRule>
    <cfRule type="expression" dxfId="8208" priority="44">
      <formula>B$9&lt;8/24</formula>
    </cfRule>
  </conditionalFormatting>
  <conditionalFormatting sqref="B81:AF85">
    <cfRule type="expression" dxfId="8207" priority="37">
      <formula>B$9&gt;=20/24</formula>
    </cfRule>
    <cfRule type="expression" dxfId="8206" priority="38">
      <formula>AND(B$9&gt;=14/24,B$9&lt;20/24)</formula>
    </cfRule>
    <cfRule type="expression" dxfId="8205" priority="39">
      <formula>AND(B$9&gt;=8/24,B$9&lt;14/24)</formula>
    </cfRule>
    <cfRule type="expression" dxfId="8204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F39:AF41">
    <cfRule type="expression" dxfId="8203" priority="33">
      <formula>F$9&gt;=20/24</formula>
    </cfRule>
    <cfRule type="expression" dxfId="8202" priority="34">
      <formula>AND(F$9&gt;=14/24,F$9&lt;20/24)</formula>
    </cfRule>
    <cfRule type="expression" dxfId="8201" priority="35">
      <formula>AND(F$9&gt;=8/24,F$9&lt;14/24)</formula>
    </cfRule>
    <cfRule type="expression" dxfId="8200" priority="36">
      <formula>F$9&lt;8/24</formula>
    </cfRule>
  </conditionalFormatting>
  <conditionalFormatting sqref="F39:AF41">
    <cfRule type="expression" dxfId="8199" priority="32">
      <formula>F39&gt;$AG39</formula>
    </cfRule>
  </conditionalFormatting>
  <conditionalFormatting sqref="B39:B42 C42:AG42 C39:E41">
    <cfRule type="expression" dxfId="8198" priority="28">
      <formula>B$9&gt;=20/24</formula>
    </cfRule>
    <cfRule type="expression" dxfId="8197" priority="29">
      <formula>AND(B$9&gt;=14/24,B$9&lt;20/24)</formula>
    </cfRule>
    <cfRule type="expression" dxfId="8196" priority="30">
      <formula>AND(B$9&gt;=8/24,B$9&lt;14/24)</formula>
    </cfRule>
    <cfRule type="expression" dxfId="8195" priority="31">
      <formula>B$9&lt;8/24</formula>
    </cfRule>
  </conditionalFormatting>
  <conditionalFormatting sqref="B39:B42 C42:AG42 C39:E41">
    <cfRule type="expression" dxfId="8194" priority="27">
      <formula>B39&gt;$AG39</formula>
    </cfRule>
  </conditionalFormatting>
  <conditionalFormatting sqref="C97:AF97">
    <cfRule type="expression" dxfId="8193" priority="23">
      <formula>C$9&gt;=20/24</formula>
    </cfRule>
    <cfRule type="expression" dxfId="8192" priority="24">
      <formula>AND(C$9&gt;=14/24,C$9&lt;20/24)</formula>
    </cfRule>
    <cfRule type="expression" dxfId="8191" priority="25">
      <formula>AND(C$9&gt;=8/24,C$9&lt;14/24)</formula>
    </cfRule>
    <cfRule type="expression" dxfId="8190" priority="26">
      <formula>C$9&lt;8/24</formula>
    </cfRule>
  </conditionalFormatting>
  <conditionalFormatting sqref="B97">
    <cfRule type="expression" dxfId="8189" priority="19">
      <formula>B$9&gt;=20/24</formula>
    </cfRule>
    <cfRule type="expression" dxfId="8188" priority="20">
      <formula>AND(B$9&gt;=14/24,B$9&lt;20/24)</formula>
    </cfRule>
    <cfRule type="expression" dxfId="8187" priority="21">
      <formula>AND(B$9&gt;=8/24,B$9&lt;14/24)</formula>
    </cfRule>
    <cfRule type="expression" dxfId="8186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8185" priority="12">
      <formula>$AH31=0</formula>
    </cfRule>
  </conditionalFormatting>
  <conditionalFormatting sqref="A80">
    <cfRule type="expression" dxfId="8184" priority="10">
      <formula>$AH80=0</formula>
    </cfRule>
  </conditionalFormatting>
  <conditionalFormatting sqref="A77">
    <cfRule type="expression" dxfId="8183" priority="11">
      <formula>$AH77=0</formula>
    </cfRule>
  </conditionalFormatting>
  <conditionalFormatting sqref="A106">
    <cfRule type="expression" dxfId="8182" priority="1">
      <formula>$AH106=0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867048E-34C1-4FB1-8DEB-C3B5C18D6F6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344C3B39-F127-4FEA-AE17-DCB6A0CB61C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5AEF1617-4751-4926-AA05-EC40C0FFE7F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1AC9DE97-098E-4371-95AB-7CA3153B663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006906AF-DAA0-41AE-B4E8-8467B7AF83DA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978728EA-4AA0-4869-856D-C0709AFCFB8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8CB041E7-B64A-48B2-B94E-D17A39E783F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106CFE72-179E-4458-917A-FE859885030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46D8259B-CDCE-4681-A232-5CB2AAED52E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065D57DD-6ED5-4247-B004-9AFA843B7FC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8C627CD7-71C2-42D3-B92F-B8E8D235579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2876067A-DF71-411D-B10C-9217E32F489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F42594A7-CC74-46A4-A897-06B676F4F94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J493"/>
  <sheetViews>
    <sheetView zoomScale="90" zoomScaleNormal="90" workbookViewId="0">
      <pane xSplit="1" ySplit="10" topLeftCell="F86" activePane="bottomRight" state="frozen"/>
      <selection activeCell="AF88" sqref="AF88"/>
      <selection pane="topRight" activeCell="AF88" sqref="AF88"/>
      <selection pane="bottomLeft" activeCell="AF88" sqref="AF88"/>
      <selection pane="bottomRight" activeCell="AF106" sqref="AF106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4" width="6.28515625" style="176" bestFit="1" customWidth="1"/>
    <col min="15" max="15" width="5.140625" style="176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>
        <v>60</v>
      </c>
      <c r="AE2" s="186">
        <v>25.78</v>
      </c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86</v>
      </c>
      <c r="C5" s="205">
        <f t="shared" si="0"/>
        <v>57</v>
      </c>
      <c r="D5" s="205">
        <f t="shared" si="0"/>
        <v>61</v>
      </c>
      <c r="E5" s="205">
        <f t="shared" si="0"/>
        <v>66</v>
      </c>
      <c r="F5" s="205">
        <f t="shared" si="0"/>
        <v>64</v>
      </c>
      <c r="G5" s="205">
        <f t="shared" si="0"/>
        <v>58</v>
      </c>
      <c r="H5" s="205">
        <f t="shared" si="0"/>
        <v>59</v>
      </c>
      <c r="I5" s="205">
        <f t="shared" si="0"/>
        <v>54</v>
      </c>
      <c r="J5" s="205">
        <f t="shared" si="0"/>
        <v>50</v>
      </c>
      <c r="K5" s="205">
        <f t="shared" si="0"/>
        <v>45</v>
      </c>
      <c r="L5" s="205">
        <f t="shared" si="0"/>
        <v>52</v>
      </c>
      <c r="M5" s="205">
        <f t="shared" si="0"/>
        <v>77.5</v>
      </c>
      <c r="N5" s="205">
        <f t="shared" si="0"/>
        <v>0</v>
      </c>
      <c r="O5" s="205">
        <f t="shared" si="0"/>
        <v>67</v>
      </c>
      <c r="P5" s="205">
        <f t="shared" si="0"/>
        <v>67</v>
      </c>
      <c r="Q5" s="205">
        <f t="shared" si="0"/>
        <v>67</v>
      </c>
      <c r="R5" s="205">
        <f t="shared" si="0"/>
        <v>77</v>
      </c>
      <c r="S5" s="205">
        <f t="shared" si="0"/>
        <v>0</v>
      </c>
      <c r="T5" s="205">
        <f t="shared" si="0"/>
        <v>73</v>
      </c>
      <c r="U5" s="205">
        <f t="shared" si="0"/>
        <v>71.5</v>
      </c>
      <c r="V5" s="205">
        <f t="shared" si="0"/>
        <v>69.8</v>
      </c>
      <c r="W5" s="205">
        <f t="shared" si="0"/>
        <v>58.5</v>
      </c>
      <c r="X5" s="205">
        <f t="shared" si="0"/>
        <v>53.5</v>
      </c>
      <c r="Y5" s="205">
        <f t="shared" si="0"/>
        <v>0</v>
      </c>
      <c r="Z5" s="205">
        <f t="shared" si="0"/>
        <v>74.2</v>
      </c>
      <c r="AA5" s="205">
        <f t="shared" si="0"/>
        <v>76.900000000000006</v>
      </c>
      <c r="AB5" s="205">
        <f t="shared" si="0"/>
        <v>78.7</v>
      </c>
      <c r="AC5" s="205">
        <f t="shared" si="0"/>
        <v>78.7</v>
      </c>
      <c r="AD5" s="205">
        <f t="shared" si="0"/>
        <v>75.900000000000006</v>
      </c>
      <c r="AE5" s="205">
        <f t="shared" si="0"/>
        <v>78</v>
      </c>
      <c r="AF5" s="205">
        <f>B72</f>
        <v>58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1931MW at 7:30hr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Load=0</v>
      </c>
      <c r="B7" s="210">
        <f>B79</f>
        <v>1857.6399999999999</v>
      </c>
      <c r="C7" s="210">
        <f t="shared" ref="C7:AF7" si="1">C79</f>
        <v>1852.6399999999999</v>
      </c>
      <c r="D7" s="210">
        <f t="shared" si="1"/>
        <v>1859.94</v>
      </c>
      <c r="E7" s="210">
        <f t="shared" si="1"/>
        <v>1828.54</v>
      </c>
      <c r="F7" s="210">
        <f t="shared" si="1"/>
        <v>1822.6399999999999</v>
      </c>
      <c r="G7" s="210">
        <f t="shared" si="1"/>
        <v>1843.6399999999999</v>
      </c>
      <c r="H7" s="210">
        <f t="shared" si="1"/>
        <v>1857.94</v>
      </c>
      <c r="I7" s="210">
        <f t="shared" si="1"/>
        <v>1855.1399999999999</v>
      </c>
      <c r="J7" s="210">
        <f t="shared" si="1"/>
        <v>1895.7399999999998</v>
      </c>
      <c r="K7" s="210">
        <f t="shared" si="1"/>
        <v>1898.1399999999999</v>
      </c>
      <c r="L7" s="210">
        <f t="shared" si="1"/>
        <v>1931.1399999999999</v>
      </c>
      <c r="M7" s="210">
        <f t="shared" si="1"/>
        <v>1913.8400000000001</v>
      </c>
      <c r="N7" s="210">
        <f t="shared" si="1"/>
        <v>1896.44</v>
      </c>
      <c r="O7" s="210">
        <f t="shared" si="1"/>
        <v>0</v>
      </c>
      <c r="P7" s="210">
        <f t="shared" si="1"/>
        <v>1885.94</v>
      </c>
      <c r="Q7" s="210">
        <f t="shared" si="1"/>
        <v>1895.1399999999999</v>
      </c>
      <c r="R7" s="210">
        <f t="shared" si="1"/>
        <v>1918.04</v>
      </c>
      <c r="S7" s="210">
        <f t="shared" si="1"/>
        <v>1925.54</v>
      </c>
      <c r="T7" s="210">
        <f t="shared" si="1"/>
        <v>3.54</v>
      </c>
      <c r="U7" s="210">
        <f t="shared" si="1"/>
        <v>1932.3400000000001</v>
      </c>
      <c r="V7" s="210">
        <f t="shared" si="1"/>
        <v>1834.54</v>
      </c>
      <c r="W7" s="210">
        <f t="shared" si="1"/>
        <v>1964.44</v>
      </c>
      <c r="X7" s="210">
        <f t="shared" si="1"/>
        <v>1920.6399999999999</v>
      </c>
      <c r="Y7" s="210">
        <f t="shared" si="1"/>
        <v>1950.6399999999999</v>
      </c>
      <c r="Z7" s="210">
        <f t="shared" si="1"/>
        <v>3.54</v>
      </c>
      <c r="AA7" s="210">
        <f t="shared" si="1"/>
        <v>1894.84</v>
      </c>
      <c r="AB7" s="210">
        <f t="shared" si="1"/>
        <v>1980.3400000000001</v>
      </c>
      <c r="AC7" s="210">
        <f t="shared" si="1"/>
        <v>1963.84</v>
      </c>
      <c r="AD7" s="210">
        <f t="shared" si="1"/>
        <v>2019.5400000000002</v>
      </c>
      <c r="AE7" s="210">
        <f t="shared" si="1"/>
        <v>1989.3400000000001</v>
      </c>
      <c r="AF7" s="210">
        <f t="shared" si="1"/>
        <v>1868.14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21" customHeight="1" thickTop="1" x14ac:dyDescent="0.25">
      <c r="A11" s="220" t="s">
        <v>19</v>
      </c>
      <c r="B11" s="221">
        <v>53.2</v>
      </c>
      <c r="C11" s="221">
        <v>53.2</v>
      </c>
      <c r="D11" s="222">
        <v>53.2</v>
      </c>
      <c r="E11" s="221">
        <v>53.2</v>
      </c>
      <c r="F11" s="221">
        <v>53.2</v>
      </c>
      <c r="G11" s="221">
        <v>53.2</v>
      </c>
      <c r="H11" s="221">
        <v>53.2</v>
      </c>
      <c r="I11" s="221">
        <v>53.2</v>
      </c>
      <c r="J11" s="221">
        <v>53.2</v>
      </c>
      <c r="K11" s="221">
        <v>53.2</v>
      </c>
      <c r="L11" s="221">
        <v>53.2</v>
      </c>
      <c r="M11" s="221">
        <v>53.2</v>
      </c>
      <c r="N11" s="221">
        <v>53.1</v>
      </c>
      <c r="O11" s="403" t="s">
        <v>240</v>
      </c>
      <c r="P11" s="221">
        <v>53.1</v>
      </c>
      <c r="Q11" s="221">
        <v>53.1</v>
      </c>
      <c r="R11" s="221">
        <v>53.1</v>
      </c>
      <c r="S11" s="221">
        <v>53.1</v>
      </c>
      <c r="T11" s="403" t="s">
        <v>240</v>
      </c>
      <c r="U11" s="224">
        <v>53.1</v>
      </c>
      <c r="V11" s="224">
        <v>0</v>
      </c>
      <c r="W11" s="224">
        <v>53.9</v>
      </c>
      <c r="X11" s="224">
        <v>53.9</v>
      </c>
      <c r="Y11" s="224">
        <v>53.9</v>
      </c>
      <c r="Z11" s="224"/>
      <c r="AA11" s="224">
        <v>53.9</v>
      </c>
      <c r="AB11" s="224">
        <v>53.9</v>
      </c>
      <c r="AC11" s="224">
        <v>53.9</v>
      </c>
      <c r="AD11" s="224">
        <v>53.9</v>
      </c>
      <c r="AE11" s="224">
        <v>54</v>
      </c>
      <c r="AF11" s="224">
        <v>54</v>
      </c>
      <c r="AG11" s="225">
        <v>52.4</v>
      </c>
      <c r="AH11" s="226">
        <f>MAX(B11:AF11)</f>
        <v>54</v>
      </c>
      <c r="AI11" s="227">
        <f>MIN(B11:AF11)</f>
        <v>0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50.3</v>
      </c>
      <c r="C12" s="221">
        <v>50.3</v>
      </c>
      <c r="D12" s="221">
        <v>0</v>
      </c>
      <c r="E12" s="221">
        <v>50.3</v>
      </c>
      <c r="F12" s="221">
        <v>50.3</v>
      </c>
      <c r="G12" s="221">
        <v>50.3</v>
      </c>
      <c r="H12" s="221">
        <v>50.3</v>
      </c>
      <c r="I12" s="221">
        <v>50.3</v>
      </c>
      <c r="J12" s="221">
        <v>50.3</v>
      </c>
      <c r="K12" s="221">
        <v>50.3</v>
      </c>
      <c r="L12" s="221">
        <v>50.3</v>
      </c>
      <c r="M12" s="221">
        <v>50.3</v>
      </c>
      <c r="N12" s="221">
        <v>50.3</v>
      </c>
      <c r="O12" s="404"/>
      <c r="P12" s="221">
        <v>50.3</v>
      </c>
      <c r="Q12" s="221">
        <v>50.3</v>
      </c>
      <c r="R12" s="221">
        <v>50.3</v>
      </c>
      <c r="S12" s="221">
        <v>50.3</v>
      </c>
      <c r="T12" s="404"/>
      <c r="U12" s="221">
        <v>50.3</v>
      </c>
      <c r="V12" s="221">
        <v>50.3</v>
      </c>
      <c r="W12" s="221">
        <v>50.3</v>
      </c>
      <c r="X12" s="221">
        <v>50.3</v>
      </c>
      <c r="Y12" s="221">
        <v>50.3</v>
      </c>
      <c r="Z12" s="221"/>
      <c r="AA12" s="221">
        <v>50.3</v>
      </c>
      <c r="AB12" s="221">
        <v>50.3</v>
      </c>
      <c r="AC12" s="221">
        <v>50.3</v>
      </c>
      <c r="AD12" s="221">
        <v>50.3</v>
      </c>
      <c r="AE12" s="221">
        <v>50.2</v>
      </c>
      <c r="AF12" s="221">
        <v>50.1</v>
      </c>
      <c r="AG12" s="229">
        <v>50</v>
      </c>
      <c r="AH12" s="226">
        <f t="shared" ref="AH12:AH79" si="2">MAX(B12:AF12)</f>
        <v>50.3</v>
      </c>
      <c r="AI12" s="227">
        <f t="shared" ref="AI12:AI79" si="3">MIN(B12:AF12)</f>
        <v>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45.8</v>
      </c>
      <c r="C13" s="221">
        <v>45.8</v>
      </c>
      <c r="D13" s="221">
        <v>0</v>
      </c>
      <c r="E13" s="221">
        <v>45.8</v>
      </c>
      <c r="F13" s="221">
        <v>45.8</v>
      </c>
      <c r="G13" s="221">
        <v>45.8</v>
      </c>
      <c r="H13" s="221">
        <v>45.8</v>
      </c>
      <c r="I13" s="221">
        <v>45.8</v>
      </c>
      <c r="J13" s="221">
        <v>45.8</v>
      </c>
      <c r="K13" s="221">
        <v>45.8</v>
      </c>
      <c r="L13" s="221">
        <v>45.8</v>
      </c>
      <c r="M13" s="221">
        <v>45.8</v>
      </c>
      <c r="N13" s="221">
        <v>45.8</v>
      </c>
      <c r="O13" s="404"/>
      <c r="P13" s="221">
        <v>45.8</v>
      </c>
      <c r="Q13" s="221">
        <v>45.8</v>
      </c>
      <c r="R13" s="221">
        <v>45.8</v>
      </c>
      <c r="S13" s="221">
        <v>45.8</v>
      </c>
      <c r="T13" s="404"/>
      <c r="U13" s="221">
        <v>45.8</v>
      </c>
      <c r="V13" s="221">
        <v>45.8</v>
      </c>
      <c r="W13" s="221">
        <v>45.8</v>
      </c>
      <c r="X13" s="221">
        <v>45.8</v>
      </c>
      <c r="Y13" s="221">
        <v>45.8</v>
      </c>
      <c r="Z13" s="221"/>
      <c r="AA13" s="221">
        <v>23.2</v>
      </c>
      <c r="AB13" s="221">
        <v>23.2</v>
      </c>
      <c r="AC13" s="221">
        <v>23.2</v>
      </c>
      <c r="AD13" s="221">
        <v>46</v>
      </c>
      <c r="AE13" s="221">
        <v>46.1</v>
      </c>
      <c r="AF13" s="221">
        <v>46</v>
      </c>
      <c r="AG13" s="229">
        <v>45</v>
      </c>
      <c r="AH13" s="226">
        <f t="shared" si="2"/>
        <v>46.1</v>
      </c>
      <c r="AI13" s="227">
        <f t="shared" si="3"/>
        <v>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33</v>
      </c>
      <c r="C14" s="221">
        <v>0</v>
      </c>
      <c r="D14" s="221">
        <v>0</v>
      </c>
      <c r="E14" s="221">
        <v>35</v>
      </c>
      <c r="F14" s="221">
        <v>35</v>
      </c>
      <c r="G14" s="221">
        <v>35</v>
      </c>
      <c r="H14" s="221">
        <v>35</v>
      </c>
      <c r="I14" s="221">
        <v>40</v>
      </c>
      <c r="J14" s="221">
        <v>40</v>
      </c>
      <c r="K14" s="221">
        <v>40</v>
      </c>
      <c r="L14" s="221">
        <v>40</v>
      </c>
      <c r="M14" s="221">
        <v>40</v>
      </c>
      <c r="N14" s="221">
        <v>40</v>
      </c>
      <c r="O14" s="404"/>
      <c r="P14" s="221">
        <v>40</v>
      </c>
      <c r="Q14" s="221">
        <v>40</v>
      </c>
      <c r="R14" s="221">
        <v>40</v>
      </c>
      <c r="S14" s="221">
        <v>40</v>
      </c>
      <c r="T14" s="404"/>
      <c r="U14" s="221">
        <v>36</v>
      </c>
      <c r="V14" s="221">
        <v>36</v>
      </c>
      <c r="W14" s="221">
        <v>41</v>
      </c>
      <c r="X14" s="221">
        <v>41</v>
      </c>
      <c r="Y14" s="221">
        <v>41</v>
      </c>
      <c r="Z14" s="221"/>
      <c r="AA14" s="221">
        <v>41</v>
      </c>
      <c r="AB14" s="221">
        <v>41</v>
      </c>
      <c r="AC14" s="221">
        <v>41</v>
      </c>
      <c r="AD14" s="221">
        <v>41</v>
      </c>
      <c r="AE14" s="221">
        <v>35</v>
      </c>
      <c r="AF14" s="221">
        <v>30</v>
      </c>
      <c r="AG14" s="229">
        <v>42</v>
      </c>
      <c r="AH14" s="226">
        <f t="shared" si="2"/>
        <v>41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25</v>
      </c>
      <c r="C15" s="221">
        <v>25</v>
      </c>
      <c r="D15" s="221">
        <v>0</v>
      </c>
      <c r="E15" s="221">
        <v>25</v>
      </c>
      <c r="F15" s="221">
        <v>10</v>
      </c>
      <c r="G15" s="221">
        <v>10</v>
      </c>
      <c r="H15" s="221">
        <v>15</v>
      </c>
      <c r="I15" s="221">
        <v>30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404"/>
      <c r="P15" s="221">
        <v>30</v>
      </c>
      <c r="Q15" s="221">
        <v>30</v>
      </c>
      <c r="R15" s="221">
        <v>30</v>
      </c>
      <c r="S15" s="221">
        <v>30</v>
      </c>
      <c r="T15" s="404"/>
      <c r="U15" s="221">
        <v>15</v>
      </c>
      <c r="V15" s="221">
        <v>30</v>
      </c>
      <c r="W15" s="221">
        <v>30</v>
      </c>
      <c r="X15" s="221">
        <v>30</v>
      </c>
      <c r="Y15" s="221">
        <v>30</v>
      </c>
      <c r="Z15" s="221" t="s">
        <v>241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13.2</v>
      </c>
      <c r="C16" s="221">
        <v>13.2</v>
      </c>
      <c r="D16" s="221">
        <v>0</v>
      </c>
      <c r="E16" s="221">
        <v>26</v>
      </c>
      <c r="F16" s="221">
        <v>26</v>
      </c>
      <c r="G16" s="221">
        <v>26</v>
      </c>
      <c r="H16" s="221">
        <v>26</v>
      </c>
      <c r="I16" s="221">
        <v>26</v>
      </c>
      <c r="J16" s="221">
        <v>26</v>
      </c>
      <c r="K16" s="221">
        <v>26</v>
      </c>
      <c r="L16" s="221">
        <v>26</v>
      </c>
      <c r="M16" s="221">
        <v>26</v>
      </c>
      <c r="N16" s="221">
        <v>26</v>
      </c>
      <c r="O16" s="404"/>
      <c r="P16" s="221">
        <v>26</v>
      </c>
      <c r="Q16" s="221">
        <v>26</v>
      </c>
      <c r="R16" s="221">
        <v>26</v>
      </c>
      <c r="S16" s="221">
        <v>26</v>
      </c>
      <c r="T16" s="404"/>
      <c r="U16" s="221">
        <v>26</v>
      </c>
      <c r="V16" s="221">
        <v>26</v>
      </c>
      <c r="W16" s="221">
        <v>26</v>
      </c>
      <c r="X16" s="221">
        <v>26</v>
      </c>
      <c r="Y16" s="221">
        <v>26</v>
      </c>
      <c r="Z16" s="221" t="s">
        <v>242</v>
      </c>
      <c r="AA16" s="221">
        <v>26</v>
      </c>
      <c r="AB16" s="221">
        <v>26</v>
      </c>
      <c r="AC16" s="221">
        <v>26</v>
      </c>
      <c r="AD16" s="221">
        <v>26</v>
      </c>
      <c r="AE16" s="221">
        <v>26.4</v>
      </c>
      <c r="AF16" s="221">
        <v>26.1</v>
      </c>
      <c r="AG16" s="229">
        <v>25</v>
      </c>
      <c r="AH16" s="226">
        <f t="shared" si="2"/>
        <v>26.4</v>
      </c>
      <c r="AI16" s="227">
        <f t="shared" si="3"/>
        <v>0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404"/>
      <c r="P17" s="221">
        <v>25</v>
      </c>
      <c r="Q17" s="221">
        <v>25</v>
      </c>
      <c r="R17" s="221">
        <v>25</v>
      </c>
      <c r="S17" s="221">
        <v>25</v>
      </c>
      <c r="T17" s="404"/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 t="s">
        <v>243</v>
      </c>
      <c r="AA17" s="221">
        <v>0</v>
      </c>
      <c r="AB17" s="221">
        <v>0</v>
      </c>
      <c r="AC17" s="221">
        <v>0</v>
      </c>
      <c r="AD17" s="221">
        <v>0</v>
      </c>
      <c r="AE17" s="221">
        <v>0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0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404"/>
      <c r="P18" s="221">
        <v>25</v>
      </c>
      <c r="Q18" s="221">
        <v>25</v>
      </c>
      <c r="R18" s="221">
        <v>25</v>
      </c>
      <c r="S18" s="221">
        <v>25</v>
      </c>
      <c r="T18" s="404"/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 t="s">
        <v>244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0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33.299999999999997</v>
      </c>
      <c r="C19" s="221">
        <v>33.299999999999997</v>
      </c>
      <c r="D19" s="221">
        <v>33.299999999999997</v>
      </c>
      <c r="E19" s="221">
        <v>33.299999999999997</v>
      </c>
      <c r="F19" s="221">
        <v>33.299999999999997</v>
      </c>
      <c r="G19" s="221">
        <v>33.299999999999997</v>
      </c>
      <c r="H19" s="221">
        <v>33.299999999999997</v>
      </c>
      <c r="I19" s="221">
        <v>33.299999999999997</v>
      </c>
      <c r="J19" s="221">
        <v>33.299999999999997</v>
      </c>
      <c r="K19" s="221">
        <v>33.299999999999997</v>
      </c>
      <c r="L19" s="221">
        <v>33.299999999999997</v>
      </c>
      <c r="M19" s="221">
        <v>33.299999999999997</v>
      </c>
      <c r="N19" s="221">
        <v>33.299999999999997</v>
      </c>
      <c r="O19" s="404"/>
      <c r="P19" s="221">
        <v>33.299999999999997</v>
      </c>
      <c r="Q19" s="221">
        <v>33.299999999999997</v>
      </c>
      <c r="R19" s="221">
        <v>33.299999999999997</v>
      </c>
      <c r="S19" s="221">
        <v>33.299999999999997</v>
      </c>
      <c r="T19" s="404"/>
      <c r="U19" s="221">
        <v>33.299999999999997</v>
      </c>
      <c r="V19" s="221">
        <v>0</v>
      </c>
      <c r="W19" s="221">
        <v>20</v>
      </c>
      <c r="X19" s="221">
        <v>33.4</v>
      </c>
      <c r="Y19" s="221">
        <v>33.4</v>
      </c>
      <c r="Z19" s="221" t="s">
        <v>245</v>
      </c>
      <c r="AA19" s="221">
        <v>33.4</v>
      </c>
      <c r="AB19" s="221">
        <v>33.4</v>
      </c>
      <c r="AC19" s="221">
        <v>33.4</v>
      </c>
      <c r="AD19" s="221">
        <v>33.4</v>
      </c>
      <c r="AE19" s="221">
        <v>33</v>
      </c>
      <c r="AF19" s="221">
        <v>33</v>
      </c>
      <c r="AG19" s="229">
        <v>24.2</v>
      </c>
      <c r="AH19" s="226">
        <f t="shared" si="2"/>
        <v>33.4</v>
      </c>
      <c r="AI19" s="227">
        <f t="shared" si="3"/>
        <v>0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23.8</v>
      </c>
      <c r="C20" s="221">
        <v>23.8</v>
      </c>
      <c r="D20" s="221">
        <v>23.5</v>
      </c>
      <c r="E20" s="221">
        <v>23.8</v>
      </c>
      <c r="F20" s="221">
        <v>23.8</v>
      </c>
      <c r="G20" s="221">
        <v>23.8</v>
      </c>
      <c r="H20" s="221">
        <v>23.8</v>
      </c>
      <c r="I20" s="221">
        <v>0</v>
      </c>
      <c r="J20" s="221">
        <v>0</v>
      </c>
      <c r="K20" s="221">
        <v>0</v>
      </c>
      <c r="L20" s="221">
        <v>0</v>
      </c>
      <c r="M20" s="221">
        <v>0</v>
      </c>
      <c r="N20" s="221">
        <v>0</v>
      </c>
      <c r="O20" s="404"/>
      <c r="P20" s="221">
        <v>0</v>
      </c>
      <c r="Q20" s="221">
        <v>0</v>
      </c>
      <c r="R20" s="221">
        <v>0</v>
      </c>
      <c r="S20" s="221">
        <v>0</v>
      </c>
      <c r="T20" s="404"/>
      <c r="U20" s="221">
        <v>23.8</v>
      </c>
      <c r="V20" s="221">
        <v>23.8</v>
      </c>
      <c r="W20" s="221">
        <v>23.8</v>
      </c>
      <c r="X20" s="221">
        <v>23.8</v>
      </c>
      <c r="Y20" s="221">
        <v>23.8</v>
      </c>
      <c r="Z20" s="221" t="s">
        <v>246</v>
      </c>
      <c r="AA20" s="221">
        <v>23.8</v>
      </c>
      <c r="AB20" s="221">
        <v>22.8</v>
      </c>
      <c r="AC20" s="221">
        <v>22.8</v>
      </c>
      <c r="AD20" s="221">
        <v>22.8</v>
      </c>
      <c r="AE20" s="221">
        <v>19.7</v>
      </c>
      <c r="AF20" s="221">
        <v>21.6</v>
      </c>
      <c r="AG20" s="229">
        <v>23.5</v>
      </c>
      <c r="AH20" s="226">
        <f t="shared" si="2"/>
        <v>23.8</v>
      </c>
      <c r="AI20" s="227">
        <f t="shared" si="3"/>
        <v>0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11</v>
      </c>
      <c r="C21" s="221">
        <v>11</v>
      </c>
      <c r="D21" s="221">
        <v>11</v>
      </c>
      <c r="E21" s="221">
        <v>11</v>
      </c>
      <c r="F21" s="221">
        <v>11</v>
      </c>
      <c r="G21" s="221">
        <v>11</v>
      </c>
      <c r="H21" s="221">
        <v>11</v>
      </c>
      <c r="I21" s="221">
        <v>11</v>
      </c>
      <c r="J21" s="221">
        <v>11</v>
      </c>
      <c r="K21" s="221">
        <v>11</v>
      </c>
      <c r="L21" s="221">
        <v>11</v>
      </c>
      <c r="M21" s="221">
        <v>11</v>
      </c>
      <c r="N21" s="221">
        <v>11</v>
      </c>
      <c r="O21" s="404"/>
      <c r="P21" s="221">
        <v>11</v>
      </c>
      <c r="Q21" s="221">
        <v>11</v>
      </c>
      <c r="R21" s="221">
        <v>11</v>
      </c>
      <c r="S21" s="221">
        <v>11</v>
      </c>
      <c r="T21" s="404"/>
      <c r="U21" s="221">
        <v>11</v>
      </c>
      <c r="V21" s="221">
        <v>11</v>
      </c>
      <c r="W21" s="221">
        <v>11</v>
      </c>
      <c r="X21" s="221">
        <v>11</v>
      </c>
      <c r="Y21" s="221">
        <v>11</v>
      </c>
      <c r="Z21" s="221" t="s">
        <v>247</v>
      </c>
      <c r="AA21" s="221">
        <v>11</v>
      </c>
      <c r="AB21" s="221">
        <v>11</v>
      </c>
      <c r="AC21" s="221">
        <v>11</v>
      </c>
      <c r="AD21" s="221">
        <v>11</v>
      </c>
      <c r="AE21" s="221">
        <v>11</v>
      </c>
      <c r="AF21" s="221">
        <v>11</v>
      </c>
      <c r="AG21" s="229">
        <v>22.2</v>
      </c>
      <c r="AH21" s="226">
        <f t="shared" si="2"/>
        <v>11</v>
      </c>
      <c r="AI21" s="227">
        <f t="shared" si="3"/>
        <v>11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404"/>
      <c r="P22" s="221">
        <v>22</v>
      </c>
      <c r="Q22" s="221">
        <v>22</v>
      </c>
      <c r="R22" s="221">
        <v>22</v>
      </c>
      <c r="S22" s="221">
        <v>22</v>
      </c>
      <c r="T22" s="404"/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/>
      <c r="AA22" s="221">
        <v>0</v>
      </c>
      <c r="AB22" s="221">
        <v>0</v>
      </c>
      <c r="AC22" s="221">
        <v>0</v>
      </c>
      <c r="AD22" s="221">
        <v>0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404"/>
      <c r="P23" s="221">
        <v>22</v>
      </c>
      <c r="Q23" s="221">
        <v>22</v>
      </c>
      <c r="R23" s="221">
        <v>22</v>
      </c>
      <c r="S23" s="221">
        <v>22</v>
      </c>
      <c r="T23" s="404"/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/>
      <c r="AA23" s="221">
        <v>0</v>
      </c>
      <c r="AB23" s="221">
        <v>0</v>
      </c>
      <c r="AC23" s="221">
        <v>0</v>
      </c>
      <c r="AD23" s="221">
        <v>0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0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404"/>
      <c r="P24" s="221">
        <v>22</v>
      </c>
      <c r="Q24" s="221">
        <v>22</v>
      </c>
      <c r="R24" s="221">
        <v>22</v>
      </c>
      <c r="S24" s="221">
        <v>22</v>
      </c>
      <c r="T24" s="404"/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/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10</v>
      </c>
      <c r="D25" s="221">
        <v>0</v>
      </c>
      <c r="E25" s="221">
        <v>10</v>
      </c>
      <c r="F25" s="221">
        <v>5</v>
      </c>
      <c r="G25" s="221">
        <v>5</v>
      </c>
      <c r="H25" s="221">
        <v>10</v>
      </c>
      <c r="I25" s="221">
        <v>10</v>
      </c>
      <c r="J25" s="221">
        <v>10</v>
      </c>
      <c r="K25" s="221">
        <v>10</v>
      </c>
      <c r="L25" s="221">
        <v>10</v>
      </c>
      <c r="M25" s="221">
        <v>10</v>
      </c>
      <c r="N25" s="221">
        <v>10</v>
      </c>
      <c r="O25" s="404"/>
      <c r="P25" s="221">
        <v>10</v>
      </c>
      <c r="Q25" s="221">
        <v>10</v>
      </c>
      <c r="R25" s="221">
        <v>10</v>
      </c>
      <c r="S25" s="221">
        <v>10</v>
      </c>
      <c r="T25" s="404"/>
      <c r="U25" s="221">
        <v>10</v>
      </c>
      <c r="V25" s="221">
        <v>10</v>
      </c>
      <c r="W25" s="221">
        <v>10</v>
      </c>
      <c r="X25" s="221">
        <v>10</v>
      </c>
      <c r="Y25" s="221">
        <v>10</v>
      </c>
      <c r="Z25" s="221"/>
      <c r="AA25" s="221">
        <v>10</v>
      </c>
      <c r="AB25" s="221">
        <v>10</v>
      </c>
      <c r="AC25" s="221">
        <v>10</v>
      </c>
      <c r="AD25" s="221">
        <v>15</v>
      </c>
      <c r="AE25" s="221">
        <v>15</v>
      </c>
      <c r="AF25" s="221">
        <v>15</v>
      </c>
      <c r="AG25" s="229">
        <v>20</v>
      </c>
      <c r="AH25" s="226">
        <f t="shared" si="2"/>
        <v>15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404"/>
      <c r="P26" s="221">
        <v>14.9</v>
      </c>
      <c r="Q26" s="221">
        <v>14.9</v>
      </c>
      <c r="R26" s="221">
        <v>14.9</v>
      </c>
      <c r="S26" s="221">
        <v>14.9</v>
      </c>
      <c r="T26" s="404"/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/>
      <c r="AA26" s="221">
        <v>0</v>
      </c>
      <c r="AB26" s="221">
        <v>0</v>
      </c>
      <c r="AC26" s="221">
        <v>0</v>
      </c>
      <c r="AD26" s="221">
        <v>0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0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404"/>
      <c r="P27" s="221">
        <v>12</v>
      </c>
      <c r="Q27" s="221">
        <v>12</v>
      </c>
      <c r="R27" s="221">
        <v>12</v>
      </c>
      <c r="S27" s="221">
        <v>12</v>
      </c>
      <c r="T27" s="404"/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/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0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404"/>
      <c r="P28" s="221">
        <v>13</v>
      </c>
      <c r="Q28" s="221">
        <v>13</v>
      </c>
      <c r="R28" s="221">
        <v>13</v>
      </c>
      <c r="S28" s="221">
        <v>13</v>
      </c>
      <c r="T28" s="404"/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/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0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8</v>
      </c>
      <c r="K29" s="221">
        <v>8</v>
      </c>
      <c r="L29" s="221">
        <v>8</v>
      </c>
      <c r="M29" s="221">
        <v>8</v>
      </c>
      <c r="N29" s="221">
        <v>8</v>
      </c>
      <c r="O29" s="404"/>
      <c r="P29" s="221">
        <v>8</v>
      </c>
      <c r="Q29" s="221">
        <v>8</v>
      </c>
      <c r="R29" s="221">
        <v>8</v>
      </c>
      <c r="S29" s="221">
        <v>8</v>
      </c>
      <c r="T29" s="404"/>
      <c r="U29" s="221">
        <v>8</v>
      </c>
      <c r="V29" s="221">
        <v>8</v>
      </c>
      <c r="W29" s="221">
        <v>8</v>
      </c>
      <c r="X29" s="221">
        <v>8</v>
      </c>
      <c r="Y29" s="221">
        <v>8</v>
      </c>
      <c r="Z29" s="221"/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8</v>
      </c>
      <c r="AG29" s="229">
        <v>12</v>
      </c>
      <c r="AH29" s="226">
        <f t="shared" si="2"/>
        <v>8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404"/>
      <c r="P30" s="221">
        <v>2</v>
      </c>
      <c r="Q30" s="221">
        <v>2</v>
      </c>
      <c r="R30" s="221">
        <v>2</v>
      </c>
      <c r="S30" s="221">
        <v>2</v>
      </c>
      <c r="T30" s="404"/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/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404"/>
      <c r="P31" s="221">
        <v>12</v>
      </c>
      <c r="Q31" s="221">
        <v>12</v>
      </c>
      <c r="R31" s="221">
        <v>12</v>
      </c>
      <c r="S31" s="221">
        <v>12</v>
      </c>
      <c r="T31" s="404"/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/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>
        <v>11</v>
      </c>
      <c r="F32" s="221">
        <v>11</v>
      </c>
      <c r="G32" s="221">
        <v>11</v>
      </c>
      <c r="H32" s="221">
        <v>11</v>
      </c>
      <c r="I32" s="221">
        <v>11</v>
      </c>
      <c r="J32" s="221">
        <v>11</v>
      </c>
      <c r="K32" s="221">
        <v>11</v>
      </c>
      <c r="L32" s="221">
        <v>11</v>
      </c>
      <c r="M32" s="221">
        <v>11</v>
      </c>
      <c r="N32" s="221">
        <v>11</v>
      </c>
      <c r="O32" s="404"/>
      <c r="P32" s="221">
        <v>11</v>
      </c>
      <c r="Q32" s="221">
        <v>11</v>
      </c>
      <c r="R32" s="221">
        <v>11</v>
      </c>
      <c r="S32" s="221">
        <v>11</v>
      </c>
      <c r="T32" s="404"/>
      <c r="U32" s="221">
        <v>11</v>
      </c>
      <c r="V32" s="221">
        <v>11</v>
      </c>
      <c r="W32" s="221">
        <v>11</v>
      </c>
      <c r="X32" s="221">
        <v>11</v>
      </c>
      <c r="Y32" s="221">
        <v>11</v>
      </c>
      <c r="Z32" s="221"/>
      <c r="AA32" s="221">
        <v>11</v>
      </c>
      <c r="AB32" s="221">
        <v>11</v>
      </c>
      <c r="AC32" s="221">
        <v>11</v>
      </c>
      <c r="AD32" s="221">
        <v>11</v>
      </c>
      <c r="AE32" s="221">
        <v>11</v>
      </c>
      <c r="AF32" s="221">
        <v>11</v>
      </c>
      <c r="AG32" s="230">
        <v>11.88</v>
      </c>
      <c r="AH32" s="226">
        <f t="shared" si="2"/>
        <v>11</v>
      </c>
      <c r="AI32" s="227">
        <f t="shared" si="3"/>
        <v>11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404"/>
      <c r="P33" s="221">
        <v>11</v>
      </c>
      <c r="Q33" s="221">
        <v>11</v>
      </c>
      <c r="R33" s="221">
        <v>11</v>
      </c>
      <c r="S33" s="221">
        <v>11</v>
      </c>
      <c r="T33" s="404"/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/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9.3000000000000007</v>
      </c>
      <c r="C34" s="221">
        <v>9.3000000000000007</v>
      </c>
      <c r="D34" s="221">
        <v>9.3000000000000007</v>
      </c>
      <c r="E34" s="221">
        <v>9.3000000000000007</v>
      </c>
      <c r="F34" s="221">
        <v>9.3000000000000007</v>
      </c>
      <c r="G34" s="221">
        <v>9.3000000000000007</v>
      </c>
      <c r="H34" s="221">
        <v>9.3000000000000007</v>
      </c>
      <c r="I34" s="221">
        <v>9.3000000000000007</v>
      </c>
      <c r="J34" s="221">
        <v>9.3000000000000007</v>
      </c>
      <c r="K34" s="221">
        <v>9.3000000000000007</v>
      </c>
      <c r="L34" s="221">
        <v>9.3000000000000007</v>
      </c>
      <c r="M34" s="221">
        <v>9.3000000000000007</v>
      </c>
      <c r="N34" s="221">
        <v>9.3000000000000007</v>
      </c>
      <c r="O34" s="404"/>
      <c r="P34" s="221">
        <v>9.3000000000000007</v>
      </c>
      <c r="Q34" s="221">
        <v>9.3000000000000007</v>
      </c>
      <c r="R34" s="221">
        <v>9.3000000000000007</v>
      </c>
      <c r="S34" s="221">
        <v>9.3000000000000007</v>
      </c>
      <c r="T34" s="404"/>
      <c r="U34" s="221">
        <v>9.3000000000000007</v>
      </c>
      <c r="V34" s="221">
        <v>9.3000000000000007</v>
      </c>
      <c r="W34" s="221">
        <v>10</v>
      </c>
      <c r="X34" s="221">
        <v>10</v>
      </c>
      <c r="Y34" s="221">
        <v>10</v>
      </c>
      <c r="Z34" s="221"/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9.3000000000000007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404"/>
      <c r="P35" s="221">
        <v>0</v>
      </c>
      <c r="Q35" s="221">
        <v>0</v>
      </c>
      <c r="R35" s="221">
        <v>0</v>
      </c>
      <c r="S35" s="221">
        <v>0</v>
      </c>
      <c r="T35" s="404"/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/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327</v>
      </c>
      <c r="C36" s="237">
        <v>327</v>
      </c>
      <c r="D36" s="237">
        <v>327</v>
      </c>
      <c r="E36" s="237">
        <v>327</v>
      </c>
      <c r="F36" s="237">
        <v>327</v>
      </c>
      <c r="G36" s="237">
        <v>327</v>
      </c>
      <c r="H36" s="237">
        <v>327</v>
      </c>
      <c r="I36" s="237">
        <v>327</v>
      </c>
      <c r="J36" s="237">
        <v>327</v>
      </c>
      <c r="K36" s="237">
        <v>327</v>
      </c>
      <c r="L36" s="237">
        <v>327</v>
      </c>
      <c r="M36" s="237">
        <v>327</v>
      </c>
      <c r="N36" s="237">
        <v>327</v>
      </c>
      <c r="O36" s="404"/>
      <c r="P36" s="237">
        <v>327</v>
      </c>
      <c r="Q36" s="237">
        <v>327</v>
      </c>
      <c r="R36" s="237">
        <v>327</v>
      </c>
      <c r="S36" s="237">
        <v>327</v>
      </c>
      <c r="T36" s="404"/>
      <c r="U36" s="237">
        <v>327</v>
      </c>
      <c r="V36" s="237">
        <v>327</v>
      </c>
      <c r="W36" s="237">
        <v>327</v>
      </c>
      <c r="X36" s="237">
        <v>327</v>
      </c>
      <c r="Y36" s="237">
        <v>327</v>
      </c>
      <c r="Z36" s="237"/>
      <c r="AA36" s="237">
        <v>327</v>
      </c>
      <c r="AB36" s="237">
        <v>327</v>
      </c>
      <c r="AC36" s="237">
        <v>327</v>
      </c>
      <c r="AD36" s="237">
        <v>327</v>
      </c>
      <c r="AE36" s="237">
        <v>327</v>
      </c>
      <c r="AF36" s="237">
        <v>327</v>
      </c>
      <c r="AG36" s="235">
        <v>85</v>
      </c>
      <c r="AH36" s="226">
        <f t="shared" si="2"/>
        <v>327</v>
      </c>
      <c r="AI36" s="227">
        <f t="shared" si="3"/>
        <v>327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/>
      <c r="F37" s="237"/>
      <c r="G37" s="237">
        <v>169</v>
      </c>
      <c r="H37" s="237">
        <v>169</v>
      </c>
      <c r="I37" s="237">
        <v>169</v>
      </c>
      <c r="J37" s="237">
        <v>169</v>
      </c>
      <c r="K37" s="237">
        <v>169</v>
      </c>
      <c r="L37" s="237">
        <v>169</v>
      </c>
      <c r="M37" s="237"/>
      <c r="N37" s="237"/>
      <c r="O37" s="405"/>
      <c r="P37" s="237"/>
      <c r="Q37" s="237"/>
      <c r="R37" s="237"/>
      <c r="S37" s="239"/>
      <c r="T37" s="405"/>
      <c r="U37" s="239"/>
      <c r="V37" s="239"/>
      <c r="W37" s="239"/>
      <c r="X37" s="239"/>
      <c r="Y37" s="239"/>
      <c r="Z37" s="239"/>
      <c r="AA37" s="239">
        <v>0</v>
      </c>
      <c r="AB37" s="239">
        <v>0</v>
      </c>
      <c r="AC37" s="239">
        <v>0</v>
      </c>
      <c r="AD37" s="239">
        <v>0</v>
      </c>
      <c r="AE37" s="239">
        <v>0</v>
      </c>
      <c r="AF37" s="239">
        <v>0</v>
      </c>
      <c r="AG37" s="235">
        <v>240</v>
      </c>
      <c r="AH37" s="226">
        <f t="shared" si="2"/>
        <v>169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834.8</v>
      </c>
      <c r="C38" s="241">
        <f t="shared" si="4"/>
        <v>801.8</v>
      </c>
      <c r="D38" s="241">
        <f t="shared" si="4"/>
        <v>577.20000000000005</v>
      </c>
      <c r="E38" s="241">
        <f t="shared" si="4"/>
        <v>849.59999999999991</v>
      </c>
      <c r="F38" s="241">
        <f t="shared" si="4"/>
        <v>829.6</v>
      </c>
      <c r="G38" s="241">
        <f t="shared" si="4"/>
        <v>829.6</v>
      </c>
      <c r="H38" s="241">
        <f t="shared" si="4"/>
        <v>839.6</v>
      </c>
      <c r="I38" s="241">
        <f t="shared" si="4"/>
        <v>835.8</v>
      </c>
      <c r="J38" s="241">
        <f t="shared" si="4"/>
        <v>835.8</v>
      </c>
      <c r="K38" s="241">
        <f t="shared" si="4"/>
        <v>835.8</v>
      </c>
      <c r="L38" s="241">
        <f t="shared" si="4"/>
        <v>835.8</v>
      </c>
      <c r="M38" s="241">
        <f t="shared" si="4"/>
        <v>835.8</v>
      </c>
      <c r="N38" s="241">
        <f t="shared" si="4"/>
        <v>835.7</v>
      </c>
      <c r="O38" s="241"/>
      <c r="P38" s="241">
        <f t="shared" si="4"/>
        <v>835.7</v>
      </c>
      <c r="Q38" s="241">
        <f>SUM(Q11:Q36)</f>
        <v>835.7</v>
      </c>
      <c r="R38" s="241">
        <f>SUM(R11:R36)</f>
        <v>835.7</v>
      </c>
      <c r="S38" s="241">
        <f t="shared" si="4"/>
        <v>835.7</v>
      </c>
      <c r="T38" s="241">
        <f t="shared" si="4"/>
        <v>0</v>
      </c>
      <c r="U38" s="241">
        <f t="shared" si="4"/>
        <v>840.5</v>
      </c>
      <c r="V38" s="241">
        <f t="shared" si="4"/>
        <v>769.09999999999991</v>
      </c>
      <c r="W38" s="241">
        <f t="shared" si="4"/>
        <v>848.7</v>
      </c>
      <c r="X38" s="241">
        <f t="shared" si="4"/>
        <v>862.09999999999991</v>
      </c>
      <c r="Y38" s="241">
        <f t="shared" si="4"/>
        <v>862.09999999999991</v>
      </c>
      <c r="Z38" s="241">
        <f t="shared" si="4"/>
        <v>0</v>
      </c>
      <c r="AA38" s="241">
        <f t="shared" si="4"/>
        <v>755.59999999999991</v>
      </c>
      <c r="AB38" s="241">
        <f t="shared" si="4"/>
        <v>754.59999999999991</v>
      </c>
      <c r="AC38" s="241">
        <f t="shared" si="4"/>
        <v>754.59999999999991</v>
      </c>
      <c r="AD38" s="241">
        <f t="shared" si="4"/>
        <v>782.4</v>
      </c>
      <c r="AE38" s="241">
        <f>SUM(AE11:AE36)</f>
        <v>832.3</v>
      </c>
      <c r="AF38" s="241">
        <f>SUM(AF11:AF36)</f>
        <v>853.7</v>
      </c>
      <c r="AG38" s="242">
        <f t="shared" si="4"/>
        <v>665.78</v>
      </c>
      <c r="AH38" s="226">
        <f t="shared" si="2"/>
        <v>862.09999999999991</v>
      </c>
      <c r="AI38" s="227">
        <f t="shared" si="3"/>
        <v>0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/>
      <c r="P39" s="221">
        <v>456</v>
      </c>
      <c r="Q39" s="221">
        <v>456</v>
      </c>
      <c r="R39" s="221">
        <v>456</v>
      </c>
      <c r="S39" s="221">
        <v>456</v>
      </c>
      <c r="T39" s="221"/>
      <c r="U39" s="221">
        <v>456</v>
      </c>
      <c r="V39" s="221">
        <f>456-76</f>
        <v>380</v>
      </c>
      <c r="W39" s="221">
        <v>456</v>
      </c>
      <c r="X39" s="221">
        <v>456</v>
      </c>
      <c r="Y39" s="221">
        <v>456</v>
      </c>
      <c r="Z39" s="221"/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380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/>
      <c r="P40" s="245">
        <v>60</v>
      </c>
      <c r="Q40" s="245">
        <v>60</v>
      </c>
      <c r="R40" s="245">
        <v>60</v>
      </c>
      <c r="S40" s="245">
        <v>60</v>
      </c>
      <c r="T40" s="245"/>
      <c r="U40" s="245">
        <v>60</v>
      </c>
      <c r="V40" s="245">
        <v>60</v>
      </c>
      <c r="W40" s="245">
        <v>60</v>
      </c>
      <c r="X40" s="245">
        <v>30</v>
      </c>
      <c r="Y40" s="245">
        <v>30</v>
      </c>
      <c r="Z40" s="245"/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30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0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/>
      <c r="P41" s="247">
        <v>22</v>
      </c>
      <c r="Q41" s="247">
        <v>22</v>
      </c>
      <c r="R41" s="247">
        <v>22</v>
      </c>
      <c r="S41" s="247">
        <v>22</v>
      </c>
      <c r="T41" s="247"/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/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0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516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/>
      <c r="P42" s="241">
        <f t="shared" si="5"/>
        <v>538</v>
      </c>
      <c r="Q42" s="241">
        <f>SUM(Q39:Q41)</f>
        <v>538</v>
      </c>
      <c r="R42" s="241">
        <f>SUM(R39:R41)</f>
        <v>538</v>
      </c>
      <c r="S42" s="241">
        <f t="shared" si="5"/>
        <v>538</v>
      </c>
      <c r="T42" s="241">
        <f t="shared" si="5"/>
        <v>0</v>
      </c>
      <c r="U42" s="241">
        <f t="shared" si="5"/>
        <v>538</v>
      </c>
      <c r="V42" s="241">
        <f t="shared" si="5"/>
        <v>462</v>
      </c>
      <c r="W42" s="241">
        <f t="shared" si="5"/>
        <v>538</v>
      </c>
      <c r="X42" s="241">
        <f t="shared" si="5"/>
        <v>508</v>
      </c>
      <c r="Y42" s="241">
        <f t="shared" si="5"/>
        <v>508</v>
      </c>
      <c r="Z42" s="241">
        <f t="shared" si="5"/>
        <v>0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>SUM(AF39:AF41)</f>
        <v>462</v>
      </c>
      <c r="AG42" s="242">
        <f t="shared" si="5"/>
        <v>538.1</v>
      </c>
      <c r="AH42" s="226">
        <f t="shared" si="2"/>
        <v>538</v>
      </c>
      <c r="AI42" s="227">
        <f t="shared" si="3"/>
        <v>0</v>
      </c>
      <c r="AK42" s="228"/>
    </row>
    <row r="43" spans="1:88" x14ac:dyDescent="0.25">
      <c r="A43" s="220" t="s">
        <v>51</v>
      </c>
      <c r="B43" s="221">
        <v>143.4</v>
      </c>
      <c r="C43" s="221">
        <v>143.4</v>
      </c>
      <c r="D43" s="221">
        <v>0</v>
      </c>
      <c r="E43" s="221">
        <v>111</v>
      </c>
      <c r="F43" s="221">
        <v>121</v>
      </c>
      <c r="G43" s="221">
        <v>140</v>
      </c>
      <c r="H43" s="221">
        <v>143</v>
      </c>
      <c r="I43" s="221">
        <v>143</v>
      </c>
      <c r="J43" s="221">
        <v>143</v>
      </c>
      <c r="K43" s="221">
        <v>143</v>
      </c>
      <c r="L43" s="221">
        <v>143</v>
      </c>
      <c r="M43" s="221">
        <v>143</v>
      </c>
      <c r="N43" s="221">
        <v>143</v>
      </c>
      <c r="O43" s="221"/>
      <c r="P43" s="221">
        <v>143</v>
      </c>
      <c r="Q43" s="221">
        <v>143</v>
      </c>
      <c r="R43" s="221">
        <v>143</v>
      </c>
      <c r="S43" s="221">
        <v>143</v>
      </c>
      <c r="T43" s="221"/>
      <c r="U43" s="221">
        <v>143</v>
      </c>
      <c r="V43" s="221">
        <v>140</v>
      </c>
      <c r="W43" s="221">
        <v>143.4</v>
      </c>
      <c r="X43" s="221">
        <v>143.4</v>
      </c>
      <c r="Y43" s="221">
        <v>143.4</v>
      </c>
      <c r="Z43" s="221"/>
      <c r="AA43" s="221">
        <v>143.4</v>
      </c>
      <c r="AB43" s="221">
        <v>143.4</v>
      </c>
      <c r="AC43" s="221">
        <v>143.4</v>
      </c>
      <c r="AD43" s="221">
        <v>143.4</v>
      </c>
      <c r="AE43" s="221">
        <v>143.19999999999999</v>
      </c>
      <c r="AF43" s="221">
        <v>143.19999999999999</v>
      </c>
      <c r="AG43" s="230">
        <v>144</v>
      </c>
      <c r="AH43" s="226">
        <f t="shared" si="2"/>
        <v>143.4</v>
      </c>
      <c r="AI43" s="227">
        <f t="shared" si="3"/>
        <v>0</v>
      </c>
      <c r="AK43" s="228"/>
    </row>
    <row r="44" spans="1:88" x14ac:dyDescent="0.25">
      <c r="A44" s="234" t="s">
        <v>52</v>
      </c>
      <c r="B44" s="245">
        <v>72.900000000000006</v>
      </c>
      <c r="C44" s="245">
        <v>72.900000000000006</v>
      </c>
      <c r="D44" s="245">
        <v>0</v>
      </c>
      <c r="E44" s="245">
        <v>72.900000000000006</v>
      </c>
      <c r="F44" s="245">
        <v>68</v>
      </c>
      <c r="G44" s="245">
        <v>66</v>
      </c>
      <c r="H44" s="245">
        <v>69.400000000000006</v>
      </c>
      <c r="I44" s="245">
        <v>69.400000000000006</v>
      </c>
      <c r="J44" s="245">
        <v>69.400000000000006</v>
      </c>
      <c r="K44" s="245">
        <v>69.400000000000006</v>
      </c>
      <c r="L44" s="245">
        <v>69.400000000000006</v>
      </c>
      <c r="M44" s="221">
        <v>69.400000000000006</v>
      </c>
      <c r="N44" s="221">
        <v>69.400000000000006</v>
      </c>
      <c r="O44" s="221"/>
      <c r="P44" s="221">
        <v>69.400000000000006</v>
      </c>
      <c r="Q44" s="221">
        <v>69.400000000000006</v>
      </c>
      <c r="R44" s="221">
        <v>69.400000000000006</v>
      </c>
      <c r="S44" s="221">
        <v>69.400000000000006</v>
      </c>
      <c r="T44" s="245"/>
      <c r="U44" s="221">
        <v>69.400000000000006</v>
      </c>
      <c r="V44" s="221">
        <v>71.7</v>
      </c>
      <c r="W44" s="221">
        <v>71.7</v>
      </c>
      <c r="X44" s="221">
        <v>71.7</v>
      </c>
      <c r="Y44" s="221">
        <v>71.7</v>
      </c>
      <c r="Z44" s="245"/>
      <c r="AA44" s="221">
        <v>71.7</v>
      </c>
      <c r="AB44" s="221">
        <v>71.7</v>
      </c>
      <c r="AC44" s="221">
        <v>71.7</v>
      </c>
      <c r="AD44" s="221">
        <v>71.7</v>
      </c>
      <c r="AE44" s="245">
        <v>71.400000000000006</v>
      </c>
      <c r="AF44" s="245">
        <v>69.7</v>
      </c>
      <c r="AG44" s="235">
        <v>70</v>
      </c>
      <c r="AH44" s="226">
        <f t="shared" si="2"/>
        <v>72.900000000000006</v>
      </c>
      <c r="AI44" s="227">
        <f t="shared" si="3"/>
        <v>0</v>
      </c>
      <c r="AK44" s="228"/>
    </row>
    <row r="45" spans="1:88" x14ac:dyDescent="0.25">
      <c r="A45" s="234" t="s">
        <v>53</v>
      </c>
      <c r="B45" s="245">
        <v>64.5</v>
      </c>
      <c r="C45" s="245">
        <v>64.5</v>
      </c>
      <c r="D45" s="245">
        <v>0</v>
      </c>
      <c r="E45" s="245">
        <v>50</v>
      </c>
      <c r="F45" s="245">
        <v>54</v>
      </c>
      <c r="G45" s="245">
        <v>60</v>
      </c>
      <c r="H45" s="245">
        <v>63.9</v>
      </c>
      <c r="I45" s="245">
        <v>63.9</v>
      </c>
      <c r="J45" s="245">
        <v>63.9</v>
      </c>
      <c r="K45" s="245">
        <v>63.9</v>
      </c>
      <c r="L45" s="245">
        <v>63.9</v>
      </c>
      <c r="M45" s="221">
        <v>63.9</v>
      </c>
      <c r="N45" s="221">
        <v>63.9</v>
      </c>
      <c r="O45" s="221"/>
      <c r="P45" s="221">
        <v>63.9</v>
      </c>
      <c r="Q45" s="221">
        <v>63.9</v>
      </c>
      <c r="R45" s="221">
        <v>63.9</v>
      </c>
      <c r="S45" s="221">
        <v>63.9</v>
      </c>
      <c r="T45" s="245"/>
      <c r="U45" s="221">
        <v>63.9</v>
      </c>
      <c r="V45" s="221">
        <v>65.2</v>
      </c>
      <c r="W45" s="221">
        <v>65.2</v>
      </c>
      <c r="X45" s="221">
        <v>65.2</v>
      </c>
      <c r="Y45" s="221">
        <v>65.2</v>
      </c>
      <c r="Z45" s="245"/>
      <c r="AA45" s="221">
        <v>65.2</v>
      </c>
      <c r="AB45" s="221">
        <v>65.2</v>
      </c>
      <c r="AC45" s="221">
        <v>65.2</v>
      </c>
      <c r="AD45" s="221">
        <v>65.2</v>
      </c>
      <c r="AE45" s="245">
        <v>65.099999999999994</v>
      </c>
      <c r="AF45" s="245">
        <v>64.900000000000006</v>
      </c>
      <c r="AG45" s="235">
        <v>69</v>
      </c>
      <c r="AH45" s="226">
        <f t="shared" si="2"/>
        <v>65.2</v>
      </c>
      <c r="AI45" s="227">
        <f t="shared" si="3"/>
        <v>0</v>
      </c>
      <c r="AK45" s="228"/>
    </row>
    <row r="46" spans="1:88" x14ac:dyDescent="0.25">
      <c r="A46" s="234" t="s">
        <v>54</v>
      </c>
      <c r="B46" s="237">
        <v>60</v>
      </c>
      <c r="C46" s="237">
        <v>60</v>
      </c>
      <c r="D46" s="237">
        <v>0</v>
      </c>
      <c r="E46" s="237">
        <v>60</v>
      </c>
      <c r="F46" s="237">
        <v>60</v>
      </c>
      <c r="G46" s="237">
        <v>60</v>
      </c>
      <c r="H46" s="237">
        <v>60</v>
      </c>
      <c r="I46" s="237">
        <v>60</v>
      </c>
      <c r="J46" s="237">
        <v>60</v>
      </c>
      <c r="K46" s="237">
        <v>60</v>
      </c>
      <c r="L46" s="237">
        <v>60</v>
      </c>
      <c r="M46" s="221">
        <v>60</v>
      </c>
      <c r="N46" s="221">
        <v>60</v>
      </c>
      <c r="O46" s="221"/>
      <c r="P46" s="221">
        <v>60</v>
      </c>
      <c r="Q46" s="221">
        <v>60</v>
      </c>
      <c r="R46" s="221">
        <v>60</v>
      </c>
      <c r="S46" s="221">
        <v>60</v>
      </c>
      <c r="T46" s="221"/>
      <c r="U46" s="221">
        <v>60</v>
      </c>
      <c r="V46" s="221">
        <v>60</v>
      </c>
      <c r="W46" s="221">
        <v>60</v>
      </c>
      <c r="X46" s="221">
        <v>60</v>
      </c>
      <c r="Y46" s="221">
        <v>60</v>
      </c>
      <c r="Z46" s="245"/>
      <c r="AA46" s="221">
        <v>60</v>
      </c>
      <c r="AB46" s="221">
        <v>60</v>
      </c>
      <c r="AC46" s="221">
        <v>60</v>
      </c>
      <c r="AD46" s="221">
        <v>60</v>
      </c>
      <c r="AE46" s="237">
        <v>60</v>
      </c>
      <c r="AF46" s="237">
        <v>60.2</v>
      </c>
      <c r="AG46" s="235">
        <v>60</v>
      </c>
      <c r="AH46" s="226">
        <f t="shared" si="2"/>
        <v>60.2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28.2</v>
      </c>
      <c r="C47" s="237">
        <v>28.2</v>
      </c>
      <c r="D47" s="237">
        <v>0</v>
      </c>
      <c r="E47" s="237">
        <v>28.2</v>
      </c>
      <c r="F47" s="237">
        <v>28.2</v>
      </c>
      <c r="G47" s="237">
        <v>28.2</v>
      </c>
      <c r="H47" s="237">
        <v>28.2</v>
      </c>
      <c r="I47" s="237">
        <v>28.2</v>
      </c>
      <c r="J47" s="237">
        <v>28.2</v>
      </c>
      <c r="K47" s="237">
        <v>28.2</v>
      </c>
      <c r="L47" s="237">
        <v>28.2</v>
      </c>
      <c r="M47" s="221">
        <v>28.2</v>
      </c>
      <c r="N47" s="221">
        <v>28.2</v>
      </c>
      <c r="O47" s="221"/>
      <c r="P47" s="221">
        <v>28.2</v>
      </c>
      <c r="Q47" s="221">
        <v>28.2</v>
      </c>
      <c r="R47" s="221">
        <v>28.2</v>
      </c>
      <c r="S47" s="221">
        <v>28.2</v>
      </c>
      <c r="T47" s="221"/>
      <c r="U47" s="221">
        <v>28.2</v>
      </c>
      <c r="V47" s="221">
        <v>28.2</v>
      </c>
      <c r="W47" s="221">
        <v>28.2</v>
      </c>
      <c r="X47" s="221">
        <v>28.2</v>
      </c>
      <c r="Y47" s="221">
        <v>28.2</v>
      </c>
      <c r="Z47" s="245"/>
      <c r="AA47" s="221">
        <v>28.2</v>
      </c>
      <c r="AB47" s="221">
        <v>28.2</v>
      </c>
      <c r="AC47" s="221">
        <v>28.2</v>
      </c>
      <c r="AD47" s="221">
        <v>28.2</v>
      </c>
      <c r="AE47" s="237">
        <v>28.5</v>
      </c>
      <c r="AF47" s="237">
        <v>28.5</v>
      </c>
      <c r="AG47" s="235">
        <v>30</v>
      </c>
      <c r="AH47" s="226">
        <f t="shared" si="2"/>
        <v>28.5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2</v>
      </c>
      <c r="M48" s="221">
        <v>2</v>
      </c>
      <c r="N48" s="221">
        <v>2</v>
      </c>
      <c r="O48" s="221"/>
      <c r="P48" s="221">
        <v>2</v>
      </c>
      <c r="Q48" s="221">
        <v>2</v>
      </c>
      <c r="R48" s="221">
        <v>2</v>
      </c>
      <c r="S48" s="221">
        <v>2</v>
      </c>
      <c r="T48" s="221"/>
      <c r="U48" s="221">
        <v>8</v>
      </c>
      <c r="V48" s="221">
        <v>8</v>
      </c>
      <c r="W48" s="221">
        <v>8</v>
      </c>
      <c r="X48" s="221">
        <v>8</v>
      </c>
      <c r="Y48" s="221">
        <v>8</v>
      </c>
      <c r="Z48" s="221"/>
      <c r="AA48" s="221">
        <v>8</v>
      </c>
      <c r="AB48" s="221">
        <v>0</v>
      </c>
      <c r="AC48" s="221">
        <v>0</v>
      </c>
      <c r="AD48" s="221">
        <v>0</v>
      </c>
      <c r="AE48" s="245">
        <v>0</v>
      </c>
      <c r="AF48" s="245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14.7</v>
      </c>
      <c r="C49" s="245">
        <v>14.7</v>
      </c>
      <c r="D49" s="245">
        <v>0</v>
      </c>
      <c r="E49" s="245">
        <v>14.7</v>
      </c>
      <c r="F49" s="245">
        <v>14.7</v>
      </c>
      <c r="G49" s="245">
        <v>14.7</v>
      </c>
      <c r="H49" s="245">
        <v>14.7</v>
      </c>
      <c r="I49" s="245">
        <v>14.7</v>
      </c>
      <c r="J49" s="245">
        <v>14.7</v>
      </c>
      <c r="K49" s="245">
        <v>14.7</v>
      </c>
      <c r="L49" s="245">
        <v>14.7</v>
      </c>
      <c r="M49" s="221">
        <v>14.7</v>
      </c>
      <c r="N49" s="221">
        <v>14.7</v>
      </c>
      <c r="O49" s="221"/>
      <c r="P49" s="221">
        <v>14.7</v>
      </c>
      <c r="Q49" s="221">
        <v>14.7</v>
      </c>
      <c r="R49" s="221">
        <v>14.7</v>
      </c>
      <c r="S49" s="221">
        <v>14.7</v>
      </c>
      <c r="T49" s="221"/>
      <c r="U49" s="221">
        <v>14.7</v>
      </c>
      <c r="V49" s="221">
        <v>14.7</v>
      </c>
      <c r="W49" s="221">
        <v>14.7</v>
      </c>
      <c r="X49" s="221">
        <v>14.7</v>
      </c>
      <c r="Y49" s="221">
        <v>14.7</v>
      </c>
      <c r="Z49" s="221"/>
      <c r="AA49" s="221">
        <v>14.7</v>
      </c>
      <c r="AB49" s="221">
        <v>14.7</v>
      </c>
      <c r="AC49" s="221">
        <v>14.7</v>
      </c>
      <c r="AD49" s="221">
        <v>14.7</v>
      </c>
      <c r="AE49" s="245">
        <v>14.7</v>
      </c>
      <c r="AF49" s="245">
        <v>15.3</v>
      </c>
      <c r="AG49" s="235">
        <v>24</v>
      </c>
      <c r="AH49" s="226">
        <f t="shared" si="2"/>
        <v>15.3</v>
      </c>
      <c r="AI49" s="227">
        <f t="shared" si="3"/>
        <v>0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0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/>
      <c r="P50" s="221">
        <v>3</v>
      </c>
      <c r="Q50" s="221">
        <v>3</v>
      </c>
      <c r="R50" s="221">
        <v>3</v>
      </c>
      <c r="S50" s="221">
        <v>3</v>
      </c>
      <c r="T50" s="221"/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/>
      <c r="AA50" s="221">
        <v>3</v>
      </c>
      <c r="AB50" s="221">
        <v>3</v>
      </c>
      <c r="AC50" s="221">
        <v>3</v>
      </c>
      <c r="AD50" s="221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0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10.3</v>
      </c>
      <c r="C51" s="245">
        <v>10.3</v>
      </c>
      <c r="D51" s="245">
        <v>0</v>
      </c>
      <c r="E51" s="245">
        <v>10.3</v>
      </c>
      <c r="F51" s="245">
        <v>10.3</v>
      </c>
      <c r="G51" s="245">
        <v>10.3</v>
      </c>
      <c r="H51" s="245">
        <v>10.3</v>
      </c>
      <c r="I51" s="245">
        <v>10.3</v>
      </c>
      <c r="J51" s="245">
        <v>10.3</v>
      </c>
      <c r="K51" s="245">
        <v>10.3</v>
      </c>
      <c r="L51" s="245">
        <v>10.3</v>
      </c>
      <c r="M51" s="221">
        <v>10.3</v>
      </c>
      <c r="N51" s="221">
        <v>10.3</v>
      </c>
      <c r="O51" s="221"/>
      <c r="P51" s="221">
        <v>10.3</v>
      </c>
      <c r="Q51" s="221">
        <v>10.3</v>
      </c>
      <c r="R51" s="221">
        <v>10.3</v>
      </c>
      <c r="S51" s="221">
        <v>10.3</v>
      </c>
      <c r="T51" s="221"/>
      <c r="U51" s="221">
        <v>10.3</v>
      </c>
      <c r="V51" s="221">
        <v>10.3</v>
      </c>
      <c r="W51" s="221">
        <v>11.5</v>
      </c>
      <c r="X51" s="221">
        <v>11.5</v>
      </c>
      <c r="Y51" s="221">
        <v>11.5</v>
      </c>
      <c r="Z51" s="221"/>
      <c r="AA51" s="221">
        <v>11.5</v>
      </c>
      <c r="AB51" s="221">
        <v>12.9</v>
      </c>
      <c r="AC51" s="221">
        <v>12.9</v>
      </c>
      <c r="AD51" s="221">
        <v>12.9</v>
      </c>
      <c r="AE51" s="245">
        <v>12.8</v>
      </c>
      <c r="AF51" s="245">
        <v>9.3000000000000007</v>
      </c>
      <c r="AG51" s="235">
        <v>14.1</v>
      </c>
      <c r="AH51" s="226">
        <f t="shared" si="2"/>
        <v>12.9</v>
      </c>
      <c r="AI51" s="227">
        <f t="shared" si="3"/>
        <v>0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14.1</v>
      </c>
      <c r="C52" s="245">
        <v>14.1</v>
      </c>
      <c r="D52" s="245">
        <v>0</v>
      </c>
      <c r="E52" s="245">
        <v>14.1</v>
      </c>
      <c r="F52" s="245">
        <v>14.1</v>
      </c>
      <c r="G52" s="245">
        <v>14.1</v>
      </c>
      <c r="H52" s="245">
        <v>14.1</v>
      </c>
      <c r="I52" s="245">
        <v>14.1</v>
      </c>
      <c r="J52" s="245">
        <v>14.1</v>
      </c>
      <c r="K52" s="245">
        <v>14.1</v>
      </c>
      <c r="L52" s="245">
        <v>14.1</v>
      </c>
      <c r="M52" s="221">
        <v>14.1</v>
      </c>
      <c r="N52" s="221">
        <v>14.1</v>
      </c>
      <c r="O52" s="221"/>
      <c r="P52" s="221">
        <v>14.1</v>
      </c>
      <c r="Q52" s="221">
        <v>14.1</v>
      </c>
      <c r="R52" s="221">
        <v>14.1</v>
      </c>
      <c r="S52" s="221">
        <v>14.1</v>
      </c>
      <c r="T52" s="221"/>
      <c r="U52" s="221">
        <v>14.1</v>
      </c>
      <c r="V52" s="221">
        <v>14.1</v>
      </c>
      <c r="W52" s="221">
        <v>14.1</v>
      </c>
      <c r="X52" s="221">
        <v>14.1</v>
      </c>
      <c r="Y52" s="221">
        <v>14.1</v>
      </c>
      <c r="Z52" s="221"/>
      <c r="AA52" s="221">
        <v>14.1</v>
      </c>
      <c r="AB52" s="221">
        <v>14.1</v>
      </c>
      <c r="AC52" s="221">
        <v>14.1</v>
      </c>
      <c r="AD52" s="221">
        <v>14.1</v>
      </c>
      <c r="AE52" s="245">
        <v>14.2</v>
      </c>
      <c r="AF52" s="245">
        <v>14.2</v>
      </c>
      <c r="AG52" s="235">
        <v>14</v>
      </c>
      <c r="AH52" s="226">
        <f t="shared" si="2"/>
        <v>14.2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6</v>
      </c>
      <c r="C53" s="245">
        <v>6</v>
      </c>
      <c r="D53" s="245">
        <v>0</v>
      </c>
      <c r="E53" s="245">
        <v>6</v>
      </c>
      <c r="F53" s="245">
        <v>6</v>
      </c>
      <c r="G53" s="245">
        <v>6</v>
      </c>
      <c r="H53" s="245">
        <v>6</v>
      </c>
      <c r="I53" s="245">
        <v>6</v>
      </c>
      <c r="J53" s="245">
        <v>6</v>
      </c>
      <c r="K53" s="245">
        <v>6</v>
      </c>
      <c r="L53" s="245">
        <v>6</v>
      </c>
      <c r="M53" s="221">
        <v>6</v>
      </c>
      <c r="N53" s="221">
        <v>6</v>
      </c>
      <c r="O53" s="221"/>
      <c r="P53" s="221">
        <v>6</v>
      </c>
      <c r="Q53" s="221">
        <v>6</v>
      </c>
      <c r="R53" s="221">
        <v>6</v>
      </c>
      <c r="S53" s="221">
        <v>6</v>
      </c>
      <c r="T53" s="221"/>
      <c r="U53" s="221">
        <v>6</v>
      </c>
      <c r="V53" s="221">
        <v>6</v>
      </c>
      <c r="W53" s="221">
        <v>6</v>
      </c>
      <c r="X53" s="221">
        <v>6</v>
      </c>
      <c r="Y53" s="221">
        <v>6</v>
      </c>
      <c r="Z53" s="221"/>
      <c r="AA53" s="221">
        <v>6</v>
      </c>
      <c r="AB53" s="221">
        <v>6</v>
      </c>
      <c r="AC53" s="221">
        <v>6</v>
      </c>
      <c r="AD53" s="221">
        <v>6</v>
      </c>
      <c r="AE53" s="245">
        <v>6</v>
      </c>
      <c r="AF53" s="245">
        <v>6</v>
      </c>
      <c r="AG53" s="235">
        <v>10.050000000000001</v>
      </c>
      <c r="AH53" s="226">
        <f t="shared" si="2"/>
        <v>6</v>
      </c>
      <c r="AI53" s="227">
        <f t="shared" si="3"/>
        <v>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/>
      <c r="P54" s="221">
        <v>6.2</v>
      </c>
      <c r="Q54" s="221">
        <v>6.2</v>
      </c>
      <c r="R54" s="221">
        <v>6.2</v>
      </c>
      <c r="S54" s="221">
        <v>6.2</v>
      </c>
      <c r="T54" s="221"/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/>
      <c r="AA54" s="221">
        <v>6.2</v>
      </c>
      <c r="AB54" s="221">
        <v>6.2</v>
      </c>
      <c r="AC54" s="221">
        <v>6.2</v>
      </c>
      <c r="AD54" s="221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/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426.84000000000003</v>
      </c>
      <c r="C56" s="241">
        <f t="shared" ref="C56:AG56" si="6">SUM(C43:C55)</f>
        <v>426.84000000000003</v>
      </c>
      <c r="D56" s="241">
        <f t="shared" si="6"/>
        <v>9.74</v>
      </c>
      <c r="E56" s="241">
        <f t="shared" si="6"/>
        <v>379.94</v>
      </c>
      <c r="F56" s="241">
        <f t="shared" si="6"/>
        <v>389.04</v>
      </c>
      <c r="G56" s="241">
        <f t="shared" si="6"/>
        <v>412.04</v>
      </c>
      <c r="H56" s="241">
        <f t="shared" si="6"/>
        <v>422.34000000000003</v>
      </c>
      <c r="I56" s="241">
        <f t="shared" si="6"/>
        <v>422.34000000000003</v>
      </c>
      <c r="J56" s="241">
        <f t="shared" si="6"/>
        <v>422.34000000000003</v>
      </c>
      <c r="K56" s="241">
        <f t="shared" si="6"/>
        <v>422.34000000000003</v>
      </c>
      <c r="L56" s="241">
        <f t="shared" si="6"/>
        <v>424.34000000000003</v>
      </c>
      <c r="M56" s="241">
        <f t="shared" si="6"/>
        <v>424.34000000000003</v>
      </c>
      <c r="N56" s="241">
        <f t="shared" si="6"/>
        <v>424.34000000000003</v>
      </c>
      <c r="O56" s="241"/>
      <c r="P56" s="241">
        <f t="shared" si="6"/>
        <v>424.34000000000003</v>
      </c>
      <c r="Q56" s="241">
        <f>SUM(Q43:Q55)</f>
        <v>424.34000000000003</v>
      </c>
      <c r="R56" s="241">
        <f>SUM(R43:R55)</f>
        <v>424.34000000000003</v>
      </c>
      <c r="S56" s="241">
        <f t="shared" si="6"/>
        <v>424.34000000000003</v>
      </c>
      <c r="T56" s="241">
        <f t="shared" si="6"/>
        <v>3.54</v>
      </c>
      <c r="U56" s="241">
        <f t="shared" si="6"/>
        <v>430.34000000000003</v>
      </c>
      <c r="V56" s="241">
        <f t="shared" si="6"/>
        <v>430.94</v>
      </c>
      <c r="W56" s="241">
        <f t="shared" si="6"/>
        <v>435.54</v>
      </c>
      <c r="X56" s="241">
        <f t="shared" si="6"/>
        <v>435.54</v>
      </c>
      <c r="Y56" s="241">
        <f t="shared" si="6"/>
        <v>435.54</v>
      </c>
      <c r="Z56" s="241">
        <f t="shared" si="6"/>
        <v>3.54</v>
      </c>
      <c r="AA56" s="241">
        <f t="shared" si="6"/>
        <v>435.54</v>
      </c>
      <c r="AB56" s="241">
        <f t="shared" si="6"/>
        <v>428.94</v>
      </c>
      <c r="AC56" s="241">
        <f t="shared" si="6"/>
        <v>428.94</v>
      </c>
      <c r="AD56" s="241">
        <f t="shared" si="6"/>
        <v>428.94</v>
      </c>
      <c r="AE56" s="241">
        <f t="shared" si="6"/>
        <v>428.64</v>
      </c>
      <c r="AF56" s="241">
        <f t="shared" si="6"/>
        <v>424.03999999999996</v>
      </c>
      <c r="AG56" s="242">
        <f t="shared" si="6"/>
        <v>489.91</v>
      </c>
      <c r="AH56" s="226">
        <f t="shared" si="2"/>
        <v>435.54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30</v>
      </c>
      <c r="K57" s="221">
        <v>30</v>
      </c>
      <c r="L57" s="221">
        <v>55</v>
      </c>
      <c r="M57" s="221">
        <v>39</v>
      </c>
      <c r="N57" s="221">
        <v>11.8</v>
      </c>
      <c r="O57" s="221"/>
      <c r="P57" s="221">
        <v>11.8</v>
      </c>
      <c r="Q57" s="221">
        <v>14</v>
      </c>
      <c r="R57" s="221">
        <v>29.4</v>
      </c>
      <c r="S57" s="221">
        <v>29.4</v>
      </c>
      <c r="T57" s="221"/>
      <c r="U57" s="221">
        <v>29.4</v>
      </c>
      <c r="V57" s="221">
        <v>60</v>
      </c>
      <c r="W57" s="221">
        <v>39.1</v>
      </c>
      <c r="X57" s="221">
        <v>33.299999999999997</v>
      </c>
      <c r="Y57" s="221">
        <v>54.3</v>
      </c>
      <c r="Z57" s="221"/>
      <c r="AA57" s="221">
        <v>54.3</v>
      </c>
      <c r="AB57" s="221">
        <v>54.5</v>
      </c>
      <c r="AC57" s="221">
        <v>43.7</v>
      </c>
      <c r="AD57" s="221">
        <v>60</v>
      </c>
      <c r="AE57" s="221">
        <v>45</v>
      </c>
      <c r="AF57" s="221">
        <v>29.8</v>
      </c>
      <c r="AG57" s="230">
        <v>60</v>
      </c>
      <c r="AH57" s="226">
        <f t="shared" si="2"/>
        <v>60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11.4</v>
      </c>
      <c r="K58" s="245">
        <v>16</v>
      </c>
      <c r="L58" s="245">
        <v>24</v>
      </c>
      <c r="M58" s="245">
        <v>18</v>
      </c>
      <c r="N58" s="245">
        <v>6.7</v>
      </c>
      <c r="O58" s="245"/>
      <c r="P58" s="245">
        <v>6.7</v>
      </c>
      <c r="Q58" s="245">
        <v>11.5</v>
      </c>
      <c r="R58" s="245">
        <v>15.8</v>
      </c>
      <c r="S58" s="245">
        <v>15.4</v>
      </c>
      <c r="T58" s="245"/>
      <c r="U58" s="245">
        <v>15.4</v>
      </c>
      <c r="V58" s="245">
        <v>30</v>
      </c>
      <c r="W58" s="245">
        <v>24.4</v>
      </c>
      <c r="X58" s="245">
        <v>17</v>
      </c>
      <c r="Y58" s="245">
        <v>27.3</v>
      </c>
      <c r="Z58" s="245"/>
      <c r="AA58" s="245">
        <v>27.3</v>
      </c>
      <c r="AB58" s="245">
        <v>27.4</v>
      </c>
      <c r="AC58" s="245">
        <v>21.9</v>
      </c>
      <c r="AD58" s="245">
        <v>30.4</v>
      </c>
      <c r="AE58" s="245">
        <v>21.6</v>
      </c>
      <c r="AF58" s="245">
        <v>15.1</v>
      </c>
      <c r="AG58" s="235">
        <v>32</v>
      </c>
      <c r="AH58" s="226">
        <f t="shared" si="2"/>
        <v>30.4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4.2</v>
      </c>
      <c r="K59" s="247">
        <v>6</v>
      </c>
      <c r="L59" s="247">
        <v>9</v>
      </c>
      <c r="M59" s="247">
        <v>6.7</v>
      </c>
      <c r="N59" s="247">
        <v>2.4</v>
      </c>
      <c r="O59" s="247"/>
      <c r="P59" s="247">
        <v>2.4</v>
      </c>
      <c r="Q59" s="247">
        <v>3.6</v>
      </c>
      <c r="R59" s="247">
        <v>5.8</v>
      </c>
      <c r="S59" s="247">
        <v>5.7</v>
      </c>
      <c r="T59" s="247"/>
      <c r="U59" s="247">
        <v>5.7</v>
      </c>
      <c r="V59" s="247">
        <v>11</v>
      </c>
      <c r="W59" s="247">
        <v>8.9</v>
      </c>
      <c r="X59" s="247">
        <v>6.2</v>
      </c>
      <c r="Y59" s="247">
        <v>9.9</v>
      </c>
      <c r="Z59" s="247"/>
      <c r="AA59" s="247">
        <v>9.9</v>
      </c>
      <c r="AB59" s="247">
        <v>10</v>
      </c>
      <c r="AC59" s="247">
        <v>8</v>
      </c>
      <c r="AD59" s="247">
        <v>11.1</v>
      </c>
      <c r="AE59" s="247">
        <v>7.9</v>
      </c>
      <c r="AF59" s="247">
        <v>5.5</v>
      </c>
      <c r="AG59" s="248">
        <v>14</v>
      </c>
      <c r="AH59" s="226">
        <f t="shared" si="2"/>
        <v>11.1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45.6</v>
      </c>
      <c r="K60" s="241">
        <f t="shared" si="7"/>
        <v>52</v>
      </c>
      <c r="L60" s="241">
        <f t="shared" si="7"/>
        <v>88</v>
      </c>
      <c r="M60" s="241">
        <f t="shared" si="7"/>
        <v>63.7</v>
      </c>
      <c r="N60" s="241">
        <f t="shared" si="7"/>
        <v>20.9</v>
      </c>
      <c r="O60" s="241"/>
      <c r="P60" s="241">
        <f t="shared" si="7"/>
        <v>20.9</v>
      </c>
      <c r="Q60" s="241">
        <f>SUM(Q57:Q59)</f>
        <v>29.1</v>
      </c>
      <c r="R60" s="241">
        <f>SUM(R57:R59)</f>
        <v>51</v>
      </c>
      <c r="S60" s="241">
        <f t="shared" si="7"/>
        <v>50.5</v>
      </c>
      <c r="T60" s="241">
        <f t="shared" si="7"/>
        <v>0</v>
      </c>
      <c r="U60" s="241">
        <f t="shared" si="7"/>
        <v>50.5</v>
      </c>
      <c r="V60" s="241">
        <f t="shared" si="7"/>
        <v>101</v>
      </c>
      <c r="W60" s="241">
        <f t="shared" si="7"/>
        <v>72.400000000000006</v>
      </c>
      <c r="X60" s="241">
        <f t="shared" si="7"/>
        <v>56.5</v>
      </c>
      <c r="Y60" s="241">
        <f t="shared" si="7"/>
        <v>91.5</v>
      </c>
      <c r="Z60" s="241">
        <f t="shared" si="7"/>
        <v>0</v>
      </c>
      <c r="AA60" s="241">
        <f t="shared" si="7"/>
        <v>91.5</v>
      </c>
      <c r="AB60" s="241">
        <f t="shared" si="7"/>
        <v>91.9</v>
      </c>
      <c r="AC60" s="241">
        <f t="shared" si="7"/>
        <v>73.599999999999994</v>
      </c>
      <c r="AD60" s="241">
        <f t="shared" si="7"/>
        <v>101.5</v>
      </c>
      <c r="AE60" s="241">
        <f t="shared" si="7"/>
        <v>74.5</v>
      </c>
      <c r="AF60" s="241">
        <f t="shared" si="7"/>
        <v>50.4</v>
      </c>
      <c r="AG60" s="242">
        <f t="shared" si="7"/>
        <v>106</v>
      </c>
      <c r="AH60" s="226">
        <f t="shared" si="2"/>
        <v>101.5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41</v>
      </c>
      <c r="C61" s="221">
        <v>69</v>
      </c>
      <c r="D61" s="221">
        <v>40</v>
      </c>
      <c r="E61" s="221">
        <v>56</v>
      </c>
      <c r="F61" s="221">
        <v>61</v>
      </c>
      <c r="G61" s="221">
        <v>59</v>
      </c>
      <c r="H61" s="221">
        <v>53</v>
      </c>
      <c r="I61" s="221">
        <v>54</v>
      </c>
      <c r="J61" s="221">
        <v>49</v>
      </c>
      <c r="K61" s="221">
        <v>45</v>
      </c>
      <c r="L61" s="221">
        <v>40</v>
      </c>
      <c r="M61" s="221">
        <v>47</v>
      </c>
      <c r="N61" s="221">
        <v>72.5</v>
      </c>
      <c r="O61" s="221"/>
      <c r="P61" s="221">
        <v>62</v>
      </c>
      <c r="Q61" s="221">
        <v>62</v>
      </c>
      <c r="R61" s="221">
        <v>62</v>
      </c>
      <c r="S61" s="221">
        <v>72</v>
      </c>
      <c r="T61" s="221"/>
      <c r="U61" s="221">
        <v>68</v>
      </c>
      <c r="V61" s="221">
        <v>66.5</v>
      </c>
      <c r="W61" s="221">
        <v>64.8</v>
      </c>
      <c r="X61" s="221">
        <v>53.5</v>
      </c>
      <c r="Y61" s="221">
        <v>48.5</v>
      </c>
      <c r="Z61" s="221"/>
      <c r="AA61" s="221">
        <v>69.2</v>
      </c>
      <c r="AB61" s="221">
        <v>71.900000000000006</v>
      </c>
      <c r="AC61" s="221">
        <v>71.7</v>
      </c>
      <c r="AD61" s="221">
        <v>71.7</v>
      </c>
      <c r="AE61" s="221">
        <v>68.900000000000006</v>
      </c>
      <c r="AF61" s="221">
        <v>71</v>
      </c>
      <c r="AG61" s="230"/>
      <c r="AH61" s="226">
        <f t="shared" si="2"/>
        <v>72.5</v>
      </c>
      <c r="AI61" s="227">
        <f t="shared" si="3"/>
        <v>40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/>
      <c r="P62" s="245">
        <v>0</v>
      </c>
      <c r="Q62" s="245">
        <v>0</v>
      </c>
      <c r="R62" s="245">
        <v>0</v>
      </c>
      <c r="S62" s="245">
        <v>0</v>
      </c>
      <c r="T62" s="245"/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/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-332</v>
      </c>
      <c r="C63" s="245">
        <v>-315</v>
      </c>
      <c r="D63" s="245">
        <v>-330</v>
      </c>
      <c r="E63" s="245">
        <v>-367</v>
      </c>
      <c r="F63" s="245">
        <v>-358</v>
      </c>
      <c r="G63" s="245">
        <v>-368</v>
      </c>
      <c r="H63" s="245">
        <v>-348</v>
      </c>
      <c r="I63" s="245">
        <v>-363</v>
      </c>
      <c r="J63" s="245">
        <v>-375</v>
      </c>
      <c r="K63" s="245">
        <v>-310</v>
      </c>
      <c r="L63" s="245">
        <v>-288</v>
      </c>
      <c r="M63" s="245">
        <v>-280</v>
      </c>
      <c r="N63" s="245">
        <v>-214</v>
      </c>
      <c r="O63" s="245"/>
      <c r="P63" s="245">
        <v>-194</v>
      </c>
      <c r="Q63" s="245">
        <v>-170</v>
      </c>
      <c r="R63" s="245">
        <v>-192</v>
      </c>
      <c r="S63" s="245">
        <v>-180</v>
      </c>
      <c r="T63" s="245"/>
      <c r="U63" s="245">
        <v>-215</v>
      </c>
      <c r="V63" s="245">
        <v>-97</v>
      </c>
      <c r="W63" s="245">
        <v>-254</v>
      </c>
      <c r="X63" s="245">
        <v>-200</v>
      </c>
      <c r="Y63" s="245">
        <v>-222.3</v>
      </c>
      <c r="Z63" s="245"/>
      <c r="AA63" s="245">
        <v>-142.4</v>
      </c>
      <c r="AB63" s="245">
        <v>-152.4</v>
      </c>
      <c r="AC63" s="245">
        <v>-168.7</v>
      </c>
      <c r="AD63" s="245">
        <v>-199.7</v>
      </c>
      <c r="AE63" s="245">
        <v>-244</v>
      </c>
      <c r="AF63" s="245">
        <v>-190</v>
      </c>
      <c r="AG63" s="255"/>
      <c r="AH63" s="226">
        <f t="shared" si="2"/>
        <v>-97</v>
      </c>
      <c r="AI63" s="227">
        <f t="shared" si="3"/>
        <v>-375</v>
      </c>
      <c r="AK63" s="228"/>
    </row>
    <row r="64" spans="1:41" x14ac:dyDescent="0.25">
      <c r="A64" s="234" t="s">
        <v>72</v>
      </c>
      <c r="B64" s="256">
        <v>12</v>
      </c>
      <c r="C64" s="256">
        <v>12</v>
      </c>
      <c r="D64" s="256">
        <v>12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/>
      <c r="P64" s="256">
        <v>0</v>
      </c>
      <c r="Q64" s="256">
        <v>0</v>
      </c>
      <c r="R64" s="256">
        <v>0</v>
      </c>
      <c r="S64" s="256">
        <v>0</v>
      </c>
      <c r="T64" s="256"/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/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12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/>
      <c r="P65" s="221">
        <v>0</v>
      </c>
      <c r="Q65" s="221">
        <v>0</v>
      </c>
      <c r="R65" s="221">
        <v>0</v>
      </c>
      <c r="S65" s="221">
        <v>0</v>
      </c>
      <c r="T65" s="221"/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/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5</v>
      </c>
      <c r="G66" s="257">
        <v>5</v>
      </c>
      <c r="H66" s="257">
        <v>5</v>
      </c>
      <c r="I66" s="257">
        <v>5</v>
      </c>
      <c r="J66" s="257">
        <v>5</v>
      </c>
      <c r="K66" s="257">
        <v>5</v>
      </c>
      <c r="L66" s="257">
        <v>5</v>
      </c>
      <c r="M66" s="257">
        <v>5</v>
      </c>
      <c r="N66" s="257">
        <v>5</v>
      </c>
      <c r="O66" s="257"/>
      <c r="P66" s="257">
        <v>5</v>
      </c>
      <c r="Q66" s="257">
        <v>5</v>
      </c>
      <c r="R66" s="257">
        <v>5</v>
      </c>
      <c r="S66" s="257">
        <v>5</v>
      </c>
      <c r="T66" s="257"/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/>
      <c r="AA66" s="257">
        <v>5</v>
      </c>
      <c r="AB66" s="257">
        <v>5</v>
      </c>
      <c r="AC66" s="257">
        <v>7</v>
      </c>
      <c r="AD66" s="257">
        <v>7</v>
      </c>
      <c r="AE66" s="257">
        <v>7</v>
      </c>
      <c r="AF66" s="257">
        <v>7</v>
      </c>
      <c r="AG66" s="255"/>
      <c r="AH66" s="226">
        <f t="shared" si="2"/>
        <v>7</v>
      </c>
      <c r="AI66" s="227">
        <f t="shared" si="3"/>
        <v>5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/>
      <c r="P67" s="257">
        <v>0</v>
      </c>
      <c r="Q67" s="257">
        <v>0</v>
      </c>
      <c r="R67" s="257">
        <v>0</v>
      </c>
      <c r="S67" s="257">
        <v>0</v>
      </c>
      <c r="T67" s="257"/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/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/>
      <c r="P68" s="256">
        <v>0</v>
      </c>
      <c r="Q68" s="256">
        <v>0</v>
      </c>
      <c r="R68" s="256">
        <v>0</v>
      </c>
      <c r="S68" s="256">
        <v>0</v>
      </c>
      <c r="T68" s="256"/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/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7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/>
      <c r="P69" s="256">
        <v>0</v>
      </c>
      <c r="Q69" s="256">
        <v>0</v>
      </c>
      <c r="R69" s="256">
        <v>0</v>
      </c>
      <c r="S69" s="256">
        <v>0</v>
      </c>
      <c r="T69" s="256"/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/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7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/>
      <c r="P70" s="259">
        <v>0</v>
      </c>
      <c r="Q70" s="259">
        <v>0</v>
      </c>
      <c r="R70" s="259">
        <v>0</v>
      </c>
      <c r="S70" s="259">
        <v>0</v>
      </c>
      <c r="T70" s="259"/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/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7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/>
      <c r="P71" s="259">
        <v>0</v>
      </c>
      <c r="Q71" s="259">
        <v>0</v>
      </c>
      <c r="R71" s="259">
        <v>0</v>
      </c>
      <c r="S71" s="259">
        <v>0</v>
      </c>
      <c r="T71" s="259"/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/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7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58</v>
      </c>
      <c r="C72" s="241">
        <f t="shared" ref="C72:L72" si="8">SUMIF(C61:C71,"&gt;0")</f>
        <v>86</v>
      </c>
      <c r="D72" s="241">
        <f t="shared" si="8"/>
        <v>57</v>
      </c>
      <c r="E72" s="241">
        <f t="shared" si="8"/>
        <v>61</v>
      </c>
      <c r="F72" s="241">
        <f t="shared" si="8"/>
        <v>66</v>
      </c>
      <c r="G72" s="241">
        <f t="shared" si="8"/>
        <v>64</v>
      </c>
      <c r="H72" s="241">
        <f t="shared" si="8"/>
        <v>58</v>
      </c>
      <c r="I72" s="241">
        <f t="shared" si="8"/>
        <v>59</v>
      </c>
      <c r="J72" s="241">
        <f t="shared" si="8"/>
        <v>54</v>
      </c>
      <c r="K72" s="241">
        <f t="shared" si="8"/>
        <v>50</v>
      </c>
      <c r="L72" s="241">
        <f t="shared" si="8"/>
        <v>45</v>
      </c>
      <c r="M72" s="241">
        <f>SUMIF(M61:M71,"&gt;0")</f>
        <v>52</v>
      </c>
      <c r="N72" s="241">
        <f t="shared" ref="N72:AF72" si="9">SUMIF(N61:N71,"&gt;0")</f>
        <v>77.5</v>
      </c>
      <c r="O72" s="241">
        <f t="shared" si="9"/>
        <v>0</v>
      </c>
      <c r="P72" s="241">
        <f t="shared" si="9"/>
        <v>67</v>
      </c>
      <c r="Q72" s="241">
        <f>SUMIF(Q61:Q71,"&gt;0")</f>
        <v>67</v>
      </c>
      <c r="R72" s="241">
        <f>SUMIF(R61:R71,"&gt;0")</f>
        <v>67</v>
      </c>
      <c r="S72" s="241">
        <f t="shared" si="9"/>
        <v>77</v>
      </c>
      <c r="T72" s="241">
        <f t="shared" si="9"/>
        <v>0</v>
      </c>
      <c r="U72" s="241">
        <f t="shared" si="9"/>
        <v>73</v>
      </c>
      <c r="V72" s="241">
        <f t="shared" si="9"/>
        <v>71.5</v>
      </c>
      <c r="W72" s="241">
        <f t="shared" si="9"/>
        <v>69.8</v>
      </c>
      <c r="X72" s="241">
        <f t="shared" si="9"/>
        <v>58.5</v>
      </c>
      <c r="Y72" s="241">
        <f t="shared" si="9"/>
        <v>53.5</v>
      </c>
      <c r="Z72" s="241">
        <f t="shared" si="9"/>
        <v>0</v>
      </c>
      <c r="AA72" s="241">
        <f t="shared" si="9"/>
        <v>74.2</v>
      </c>
      <c r="AB72" s="241">
        <f t="shared" si="9"/>
        <v>76.900000000000006</v>
      </c>
      <c r="AC72" s="241">
        <f t="shared" si="9"/>
        <v>78.7</v>
      </c>
      <c r="AD72" s="241">
        <f t="shared" si="9"/>
        <v>78.7</v>
      </c>
      <c r="AE72" s="241">
        <f t="shared" si="9"/>
        <v>75.900000000000006</v>
      </c>
      <c r="AF72" s="241">
        <f t="shared" si="9"/>
        <v>78</v>
      </c>
      <c r="AG72" s="261">
        <f>SUM(AG61:AG71)</f>
        <v>0</v>
      </c>
      <c r="AH72" s="226">
        <f t="shared" si="2"/>
        <v>86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1</v>
      </c>
      <c r="R76" s="241">
        <v>2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2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1857.6399999999999</v>
      </c>
      <c r="C77" s="263">
        <f t="shared" ref="C77:AF77" si="10">C38+C42+C60+C56+C72+C76</f>
        <v>1852.6399999999999</v>
      </c>
      <c r="D77" s="263">
        <f t="shared" si="10"/>
        <v>1159.94</v>
      </c>
      <c r="E77" s="263">
        <f t="shared" si="10"/>
        <v>1828.54</v>
      </c>
      <c r="F77" s="263">
        <f t="shared" si="10"/>
        <v>1822.6399999999999</v>
      </c>
      <c r="G77" s="263">
        <f t="shared" si="10"/>
        <v>1843.6399999999999</v>
      </c>
      <c r="H77" s="263">
        <f t="shared" si="10"/>
        <v>1857.94</v>
      </c>
      <c r="I77" s="263">
        <f t="shared" si="10"/>
        <v>1855.1399999999999</v>
      </c>
      <c r="J77" s="263">
        <f t="shared" si="10"/>
        <v>1895.7399999999998</v>
      </c>
      <c r="K77" s="263">
        <f t="shared" si="10"/>
        <v>1898.1399999999999</v>
      </c>
      <c r="L77" s="263">
        <f t="shared" si="10"/>
        <v>1931.1399999999999</v>
      </c>
      <c r="M77" s="263">
        <f t="shared" si="10"/>
        <v>1913.8400000000001</v>
      </c>
      <c r="N77" s="263">
        <f t="shared" si="10"/>
        <v>1896.44</v>
      </c>
      <c r="O77" s="263">
        <f t="shared" si="10"/>
        <v>0</v>
      </c>
      <c r="P77" s="263">
        <f t="shared" si="10"/>
        <v>1885.94</v>
      </c>
      <c r="Q77" s="263">
        <f>Q38+Q42+Q60+Q56+Q72+Q76</f>
        <v>1895.1399999999999</v>
      </c>
      <c r="R77" s="263">
        <f>R38+R42+R60+R56+R72+R76</f>
        <v>1918.04</v>
      </c>
      <c r="S77" s="263">
        <f t="shared" si="10"/>
        <v>1925.54</v>
      </c>
      <c r="T77" s="263">
        <f t="shared" si="10"/>
        <v>3.54</v>
      </c>
      <c r="U77" s="263">
        <f t="shared" si="10"/>
        <v>1932.3400000000001</v>
      </c>
      <c r="V77" s="263">
        <f t="shared" si="10"/>
        <v>1834.54</v>
      </c>
      <c r="W77" s="263">
        <f t="shared" si="10"/>
        <v>1964.44</v>
      </c>
      <c r="X77" s="263">
        <f t="shared" si="10"/>
        <v>1920.6399999999999</v>
      </c>
      <c r="Y77" s="263">
        <f t="shared" si="10"/>
        <v>1950.6399999999999</v>
      </c>
      <c r="Z77" s="263">
        <f t="shared" si="10"/>
        <v>3.54</v>
      </c>
      <c r="AA77" s="263">
        <f t="shared" si="10"/>
        <v>1894.84</v>
      </c>
      <c r="AB77" s="263">
        <f t="shared" si="10"/>
        <v>1890.3400000000001</v>
      </c>
      <c r="AC77" s="263">
        <f t="shared" si="10"/>
        <v>1873.84</v>
      </c>
      <c r="AD77" s="263">
        <f t="shared" si="10"/>
        <v>1929.5400000000002</v>
      </c>
      <c r="AE77" s="263">
        <f t="shared" si="10"/>
        <v>1949.3400000000001</v>
      </c>
      <c r="AF77" s="263">
        <f t="shared" si="10"/>
        <v>1868.14</v>
      </c>
      <c r="AG77" s="242">
        <f>AG38+AG42+AG60+AG56+AG72+AG76</f>
        <v>1855.1900000000003</v>
      </c>
      <c r="AH77" s="226">
        <f t="shared" si="2"/>
        <v>1964.44</v>
      </c>
      <c r="AI77" s="227">
        <f t="shared" si="3"/>
        <v>0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>
        <v>700</v>
      </c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>
        <v>90</v>
      </c>
      <c r="AC78" s="265">
        <v>90</v>
      </c>
      <c r="AD78" s="265">
        <v>90</v>
      </c>
      <c r="AE78" s="265">
        <v>40</v>
      </c>
      <c r="AF78" s="265"/>
      <c r="AG78" s="261"/>
      <c r="AH78" s="226">
        <f t="shared" si="2"/>
        <v>700</v>
      </c>
      <c r="AI78" s="227">
        <f t="shared" si="3"/>
        <v>40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1857.6399999999999</v>
      </c>
      <c r="C79" s="263">
        <f t="shared" ref="C79:AF79" si="11">C77+C78</f>
        <v>1852.6399999999999</v>
      </c>
      <c r="D79" s="263">
        <f t="shared" si="11"/>
        <v>1859.94</v>
      </c>
      <c r="E79" s="263">
        <f t="shared" si="11"/>
        <v>1828.54</v>
      </c>
      <c r="F79" s="263">
        <f t="shared" si="11"/>
        <v>1822.6399999999999</v>
      </c>
      <c r="G79" s="263">
        <f t="shared" si="11"/>
        <v>1843.6399999999999</v>
      </c>
      <c r="H79" s="263">
        <f t="shared" si="11"/>
        <v>1857.94</v>
      </c>
      <c r="I79" s="263">
        <f t="shared" si="11"/>
        <v>1855.1399999999999</v>
      </c>
      <c r="J79" s="263">
        <f t="shared" si="11"/>
        <v>1895.7399999999998</v>
      </c>
      <c r="K79" s="263">
        <f t="shared" si="11"/>
        <v>1898.1399999999999</v>
      </c>
      <c r="L79" s="263">
        <f t="shared" si="11"/>
        <v>1931.1399999999999</v>
      </c>
      <c r="M79" s="263">
        <f t="shared" si="11"/>
        <v>1913.8400000000001</v>
      </c>
      <c r="N79" s="263">
        <f t="shared" si="11"/>
        <v>1896.44</v>
      </c>
      <c r="O79" s="263">
        <f t="shared" si="11"/>
        <v>0</v>
      </c>
      <c r="P79" s="263">
        <f t="shared" si="11"/>
        <v>1885.94</v>
      </c>
      <c r="Q79" s="263">
        <f>Q77+Q78</f>
        <v>1895.1399999999999</v>
      </c>
      <c r="R79" s="263">
        <f>R77+R78</f>
        <v>1918.04</v>
      </c>
      <c r="S79" s="263">
        <f t="shared" si="11"/>
        <v>1925.54</v>
      </c>
      <c r="T79" s="263">
        <f t="shared" si="11"/>
        <v>3.54</v>
      </c>
      <c r="U79" s="263">
        <f t="shared" si="11"/>
        <v>1932.3400000000001</v>
      </c>
      <c r="V79" s="263">
        <f t="shared" si="11"/>
        <v>1834.54</v>
      </c>
      <c r="W79" s="263">
        <f t="shared" si="11"/>
        <v>1964.44</v>
      </c>
      <c r="X79" s="263">
        <f t="shared" si="11"/>
        <v>1920.6399999999999</v>
      </c>
      <c r="Y79" s="263">
        <f t="shared" si="11"/>
        <v>1950.6399999999999</v>
      </c>
      <c r="Z79" s="263">
        <f t="shared" si="11"/>
        <v>3.54</v>
      </c>
      <c r="AA79" s="263">
        <f t="shared" si="11"/>
        <v>1894.84</v>
      </c>
      <c r="AB79" s="263">
        <f t="shared" si="11"/>
        <v>1980.3400000000001</v>
      </c>
      <c r="AC79" s="263">
        <f t="shared" si="11"/>
        <v>1963.84</v>
      </c>
      <c r="AD79" s="263">
        <f t="shared" si="11"/>
        <v>2019.5400000000002</v>
      </c>
      <c r="AE79" s="263">
        <f t="shared" si="11"/>
        <v>1989.3400000000001</v>
      </c>
      <c r="AF79" s="263">
        <f t="shared" si="11"/>
        <v>1868.14</v>
      </c>
      <c r="AG79" s="261">
        <f>AG76+AG72+AG60+AG56+AG38+AG78</f>
        <v>1317.0900000000001</v>
      </c>
      <c r="AH79" s="226">
        <f t="shared" si="2"/>
        <v>2019.5400000000002</v>
      </c>
      <c r="AI79" s="227">
        <f t="shared" si="3"/>
        <v>0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1525.6399999999999</v>
      </c>
      <c r="C80" s="263">
        <f t="shared" si="12"/>
        <v>1537.6399999999999</v>
      </c>
      <c r="D80" s="263">
        <f t="shared" si="12"/>
        <v>1529.94</v>
      </c>
      <c r="E80" s="263">
        <f t="shared" si="12"/>
        <v>1461.54</v>
      </c>
      <c r="F80" s="263">
        <f t="shared" si="12"/>
        <v>1464.6399999999999</v>
      </c>
      <c r="G80" s="263">
        <f t="shared" si="12"/>
        <v>1475.6399999999999</v>
      </c>
      <c r="H80" s="263">
        <f t="shared" si="12"/>
        <v>1509.94</v>
      </c>
      <c r="I80" s="263">
        <f t="shared" si="12"/>
        <v>1492.1399999999999</v>
      </c>
      <c r="J80" s="263">
        <f t="shared" si="12"/>
        <v>1520.7399999999998</v>
      </c>
      <c r="K80" s="263">
        <f t="shared" si="12"/>
        <v>1588.1399999999999</v>
      </c>
      <c r="L80" s="263">
        <f t="shared" si="12"/>
        <v>1643.1399999999999</v>
      </c>
      <c r="M80" s="263">
        <f t="shared" si="12"/>
        <v>1633.8400000000001</v>
      </c>
      <c r="N80" s="263">
        <f t="shared" si="12"/>
        <v>1682.44</v>
      </c>
      <c r="O80" s="263">
        <f t="shared" si="12"/>
        <v>0</v>
      </c>
      <c r="P80" s="263">
        <f t="shared" si="12"/>
        <v>1691.94</v>
      </c>
      <c r="Q80" s="263">
        <f>Q79-Q87</f>
        <v>1725.1399999999999</v>
      </c>
      <c r="R80" s="263">
        <f>R79-R87</f>
        <v>1726.04</v>
      </c>
      <c r="S80" s="263">
        <f t="shared" si="12"/>
        <v>1745.54</v>
      </c>
      <c r="T80" s="263">
        <f t="shared" si="12"/>
        <v>3.54</v>
      </c>
      <c r="U80" s="263">
        <f t="shared" si="12"/>
        <v>1717.3400000000001</v>
      </c>
      <c r="V80" s="263">
        <f t="shared" si="12"/>
        <v>1737.54</v>
      </c>
      <c r="W80" s="263">
        <f t="shared" si="12"/>
        <v>1710.44</v>
      </c>
      <c r="X80" s="263">
        <f t="shared" si="12"/>
        <v>1720.6399999999999</v>
      </c>
      <c r="Y80" s="263">
        <f t="shared" si="12"/>
        <v>1728.34</v>
      </c>
      <c r="Z80" s="263">
        <f t="shared" si="12"/>
        <v>3.54</v>
      </c>
      <c r="AA80" s="263">
        <f t="shared" si="12"/>
        <v>1752.4399999999998</v>
      </c>
      <c r="AB80" s="263">
        <f t="shared" si="12"/>
        <v>1827.94</v>
      </c>
      <c r="AC80" s="263">
        <f t="shared" si="12"/>
        <v>1795.1399999999999</v>
      </c>
      <c r="AD80" s="263">
        <f t="shared" si="12"/>
        <v>1819.8400000000001</v>
      </c>
      <c r="AE80" s="263">
        <f t="shared" si="12"/>
        <v>1745.3400000000001</v>
      </c>
      <c r="AF80" s="263">
        <f t="shared" si="12"/>
        <v>1678.14</v>
      </c>
      <c r="AG80" s="261"/>
      <c r="AH80" s="226">
        <f t="shared" ref="AH80:AH97" si="13">MAX(B80:AF80)</f>
        <v>1827.94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/>
      <c r="P81" s="256">
        <f t="shared" si="14"/>
        <v>0</v>
      </c>
      <c r="Q81" s="256">
        <f>IF(Q64&lt;0,Q64*-1,0)</f>
        <v>0</v>
      </c>
      <c r="R81" s="256">
        <f>IF(R64&lt;0,R64*-1,0)</f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/>
      <c r="P82" s="256">
        <f t="shared" si="16"/>
        <v>0</v>
      </c>
      <c r="Q82" s="256">
        <f>IF(Q62&lt;0,Q62*-1,0)</f>
        <v>0</v>
      </c>
      <c r="R82" s="256">
        <f>IF(R62&lt;0,R62*-1,0)</f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/>
      <c r="P83" s="256">
        <f t="shared" si="17"/>
        <v>0</v>
      </c>
      <c r="Q83" s="256">
        <f>IF(Q65&lt;0,Q65*-1,0)</f>
        <v>0</v>
      </c>
      <c r="R83" s="256">
        <f>IF(R65&lt;0,R65*-1,0)</f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332</v>
      </c>
      <c r="C84" s="256">
        <f t="shared" ref="C84:AF84" si="18">IF(C63&lt;0,C63*-1,0)</f>
        <v>315</v>
      </c>
      <c r="D84" s="256">
        <f t="shared" si="18"/>
        <v>330</v>
      </c>
      <c r="E84" s="256">
        <f t="shared" si="18"/>
        <v>367</v>
      </c>
      <c r="F84" s="256">
        <f t="shared" si="18"/>
        <v>358</v>
      </c>
      <c r="G84" s="256">
        <f t="shared" si="18"/>
        <v>368</v>
      </c>
      <c r="H84" s="256">
        <f t="shared" si="18"/>
        <v>348</v>
      </c>
      <c r="I84" s="256">
        <f t="shared" si="18"/>
        <v>363</v>
      </c>
      <c r="J84" s="256">
        <f t="shared" si="18"/>
        <v>375</v>
      </c>
      <c r="K84" s="256">
        <f t="shared" si="18"/>
        <v>310</v>
      </c>
      <c r="L84" s="256">
        <f t="shared" si="18"/>
        <v>288</v>
      </c>
      <c r="M84" s="256">
        <f t="shared" si="18"/>
        <v>280</v>
      </c>
      <c r="N84" s="256">
        <f t="shared" si="18"/>
        <v>214</v>
      </c>
      <c r="O84" s="256"/>
      <c r="P84" s="256">
        <f t="shared" si="18"/>
        <v>194</v>
      </c>
      <c r="Q84" s="256">
        <f>IF(Q63&lt;0,Q63*-1,0)</f>
        <v>170</v>
      </c>
      <c r="R84" s="256">
        <f>IF(R63&lt;0,R63*-1,0)</f>
        <v>192</v>
      </c>
      <c r="S84" s="256">
        <f t="shared" si="18"/>
        <v>180</v>
      </c>
      <c r="T84" s="256">
        <f t="shared" si="18"/>
        <v>0</v>
      </c>
      <c r="U84" s="256">
        <f t="shared" si="18"/>
        <v>215</v>
      </c>
      <c r="V84" s="256">
        <f t="shared" si="18"/>
        <v>97</v>
      </c>
      <c r="W84" s="256">
        <f t="shared" si="18"/>
        <v>254</v>
      </c>
      <c r="X84" s="256">
        <f t="shared" si="18"/>
        <v>200</v>
      </c>
      <c r="Y84" s="256">
        <f t="shared" si="18"/>
        <v>222.3</v>
      </c>
      <c r="Z84" s="256">
        <f t="shared" si="18"/>
        <v>0</v>
      </c>
      <c r="AA84" s="256">
        <f t="shared" si="18"/>
        <v>142.4</v>
      </c>
      <c r="AB84" s="256">
        <f t="shared" si="18"/>
        <v>152.4</v>
      </c>
      <c r="AC84" s="256">
        <f t="shared" si="18"/>
        <v>168.7</v>
      </c>
      <c r="AD84" s="256">
        <f t="shared" si="18"/>
        <v>199.7</v>
      </c>
      <c r="AE84" s="256">
        <f t="shared" si="18"/>
        <v>244</v>
      </c>
      <c r="AF84" s="256">
        <f t="shared" si="18"/>
        <v>190</v>
      </c>
      <c r="AG84" s="266"/>
      <c r="AH84" s="226">
        <f t="shared" si="13"/>
        <v>375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/>
      <c r="P85" s="256">
        <f t="shared" si="19"/>
        <v>0</v>
      </c>
      <c r="Q85" s="256">
        <f>IF(Q61&lt;0,Q61*-1,0)</f>
        <v>0</v>
      </c>
      <c r="R85" s="256">
        <f>IF(R61&lt;0,R61*-1,0)</f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>
        <v>0</v>
      </c>
      <c r="AD86" s="259">
        <v>0</v>
      </c>
      <c r="AE86" s="259">
        <v>0</v>
      </c>
      <c r="AF86" s="259">
        <v>0</v>
      </c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332</v>
      </c>
      <c r="C87" s="241">
        <f t="shared" ref="C87:AF87" si="20">SUM(C81:C86)</f>
        <v>315</v>
      </c>
      <c r="D87" s="241">
        <f t="shared" si="20"/>
        <v>330</v>
      </c>
      <c r="E87" s="241">
        <f t="shared" si="20"/>
        <v>367</v>
      </c>
      <c r="F87" s="241">
        <f t="shared" si="20"/>
        <v>358</v>
      </c>
      <c r="G87" s="241">
        <f t="shared" si="20"/>
        <v>368</v>
      </c>
      <c r="H87" s="241">
        <f t="shared" si="20"/>
        <v>348</v>
      </c>
      <c r="I87" s="241">
        <f t="shared" si="20"/>
        <v>363</v>
      </c>
      <c r="J87" s="241">
        <f t="shared" si="20"/>
        <v>375</v>
      </c>
      <c r="K87" s="241">
        <f t="shared" si="20"/>
        <v>310</v>
      </c>
      <c r="L87" s="241">
        <f t="shared" si="20"/>
        <v>288</v>
      </c>
      <c r="M87" s="241">
        <f t="shared" si="20"/>
        <v>280</v>
      </c>
      <c r="N87" s="241">
        <f t="shared" si="20"/>
        <v>214</v>
      </c>
      <c r="O87" s="241">
        <f t="shared" si="20"/>
        <v>0</v>
      </c>
      <c r="P87" s="241">
        <f t="shared" si="20"/>
        <v>194</v>
      </c>
      <c r="Q87" s="241">
        <f>SUM(Q81:Q86)</f>
        <v>170</v>
      </c>
      <c r="R87" s="241">
        <f>SUM(R81:R86)</f>
        <v>192</v>
      </c>
      <c r="S87" s="241">
        <f t="shared" si="20"/>
        <v>180</v>
      </c>
      <c r="T87" s="241">
        <f t="shared" si="20"/>
        <v>0</v>
      </c>
      <c r="U87" s="241">
        <f t="shared" si="20"/>
        <v>215</v>
      </c>
      <c r="V87" s="241">
        <f t="shared" si="20"/>
        <v>97</v>
      </c>
      <c r="W87" s="241">
        <f t="shared" si="20"/>
        <v>254</v>
      </c>
      <c r="X87" s="241">
        <f t="shared" si="20"/>
        <v>200</v>
      </c>
      <c r="Y87" s="241">
        <f t="shared" si="20"/>
        <v>222.3</v>
      </c>
      <c r="Z87" s="241">
        <f t="shared" si="20"/>
        <v>0</v>
      </c>
      <c r="AA87" s="241">
        <f t="shared" si="20"/>
        <v>142.4</v>
      </c>
      <c r="AB87" s="241">
        <f t="shared" si="20"/>
        <v>152.4</v>
      </c>
      <c r="AC87" s="241">
        <f t="shared" si="20"/>
        <v>168.7</v>
      </c>
      <c r="AD87" s="241">
        <f t="shared" si="20"/>
        <v>199.7</v>
      </c>
      <c r="AE87" s="241">
        <f t="shared" si="20"/>
        <v>244</v>
      </c>
      <c r="AF87" s="241">
        <f t="shared" si="20"/>
        <v>190</v>
      </c>
      <c r="AG87" s="261"/>
      <c r="AH87" s="226">
        <f t="shared" si="13"/>
        <v>375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-274</v>
      </c>
      <c r="C88" s="241">
        <f t="shared" ref="C88:AF88" si="21">C72-C87</f>
        <v>-229</v>
      </c>
      <c r="D88" s="241">
        <f t="shared" si="21"/>
        <v>-273</v>
      </c>
      <c r="E88" s="241">
        <f t="shared" si="21"/>
        <v>-306</v>
      </c>
      <c r="F88" s="241">
        <f t="shared" si="21"/>
        <v>-292</v>
      </c>
      <c r="G88" s="241">
        <f t="shared" si="21"/>
        <v>-304</v>
      </c>
      <c r="H88" s="241">
        <f t="shared" si="21"/>
        <v>-290</v>
      </c>
      <c r="I88" s="241">
        <f t="shared" si="21"/>
        <v>-304</v>
      </c>
      <c r="J88" s="241">
        <f t="shared" si="21"/>
        <v>-321</v>
      </c>
      <c r="K88" s="241">
        <f t="shared" si="21"/>
        <v>-260</v>
      </c>
      <c r="L88" s="241">
        <f t="shared" si="21"/>
        <v>-243</v>
      </c>
      <c r="M88" s="241">
        <f t="shared" si="21"/>
        <v>-228</v>
      </c>
      <c r="N88" s="241">
        <f t="shared" si="21"/>
        <v>-136.5</v>
      </c>
      <c r="O88" s="241">
        <f t="shared" si="21"/>
        <v>0</v>
      </c>
      <c r="P88" s="241">
        <f t="shared" si="21"/>
        <v>-127</v>
      </c>
      <c r="Q88" s="241">
        <f>Q72-Q87</f>
        <v>-103</v>
      </c>
      <c r="R88" s="241">
        <f>R72-R87</f>
        <v>-125</v>
      </c>
      <c r="S88" s="241">
        <f t="shared" si="21"/>
        <v>-103</v>
      </c>
      <c r="T88" s="241">
        <f t="shared" si="21"/>
        <v>0</v>
      </c>
      <c r="U88" s="241">
        <f t="shared" si="21"/>
        <v>-142</v>
      </c>
      <c r="V88" s="241">
        <f t="shared" si="21"/>
        <v>-25.5</v>
      </c>
      <c r="W88" s="241">
        <f t="shared" si="21"/>
        <v>-184.2</v>
      </c>
      <c r="X88" s="241">
        <f t="shared" si="21"/>
        <v>-141.5</v>
      </c>
      <c r="Y88" s="241">
        <f t="shared" si="21"/>
        <v>-168.8</v>
      </c>
      <c r="Z88" s="241">
        <f t="shared" si="21"/>
        <v>0</v>
      </c>
      <c r="AA88" s="241">
        <f t="shared" si="21"/>
        <v>-68.2</v>
      </c>
      <c r="AB88" s="241">
        <f t="shared" si="21"/>
        <v>-75.5</v>
      </c>
      <c r="AC88" s="241">
        <f t="shared" si="21"/>
        <v>-89.999999999999986</v>
      </c>
      <c r="AD88" s="241">
        <f t="shared" si="21"/>
        <v>-120.99999999999999</v>
      </c>
      <c r="AE88" s="241">
        <f t="shared" si="21"/>
        <v>-168.1</v>
      </c>
      <c r="AF88" s="241">
        <f t="shared" si="21"/>
        <v>-112</v>
      </c>
      <c r="AG88" s="261"/>
      <c r="AH88" s="226">
        <f t="shared" si="13"/>
        <v>0</v>
      </c>
      <c r="AI88" s="227">
        <f t="shared" si="15"/>
        <v>-321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50.03</v>
      </c>
      <c r="C89" s="269">
        <v>50.04</v>
      </c>
      <c r="D89" s="269"/>
      <c r="E89" s="269">
        <v>49.936999999999998</v>
      </c>
      <c r="F89" s="269">
        <v>50.026000000000003</v>
      </c>
      <c r="G89" s="269">
        <v>50.026000000000003</v>
      </c>
      <c r="H89" s="269">
        <v>50.026000000000003</v>
      </c>
      <c r="I89" s="269">
        <v>49.978000000000002</v>
      </c>
      <c r="J89" s="269">
        <v>49.875</v>
      </c>
      <c r="K89" s="269">
        <v>50.033999999999999</v>
      </c>
      <c r="L89" s="269">
        <v>50.033999999999999</v>
      </c>
      <c r="M89" s="269">
        <v>49.98</v>
      </c>
      <c r="N89" s="269">
        <v>50.088000000000001</v>
      </c>
      <c r="O89" s="269"/>
      <c r="P89" s="269">
        <v>50.02</v>
      </c>
      <c r="Q89" s="269">
        <v>50.088000000000001</v>
      </c>
      <c r="R89" s="269">
        <v>49.91</v>
      </c>
      <c r="S89" s="269">
        <v>50.13</v>
      </c>
      <c r="T89" s="269"/>
      <c r="U89" s="269">
        <v>50.02</v>
      </c>
      <c r="V89" s="269">
        <v>50.005000000000003</v>
      </c>
      <c r="W89" s="269">
        <v>50.034999999999997</v>
      </c>
      <c r="X89" s="269">
        <v>49.991</v>
      </c>
      <c r="Y89" s="269">
        <v>50.055999999999997</v>
      </c>
      <c r="Z89" s="269"/>
      <c r="AA89" s="269">
        <v>49.68</v>
      </c>
      <c r="AB89" s="269">
        <v>49.869</v>
      </c>
      <c r="AC89" s="269">
        <v>49.972999999999999</v>
      </c>
      <c r="AD89" s="269">
        <v>49.963000000000001</v>
      </c>
      <c r="AE89" s="269">
        <v>50.01</v>
      </c>
      <c r="AF89" s="269">
        <v>50</v>
      </c>
      <c r="AG89" s="270"/>
      <c r="AH89" s="226">
        <f t="shared" si="13"/>
        <v>50.13</v>
      </c>
      <c r="AI89" s="227">
        <f t="shared" si="15"/>
        <v>49.68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</v>
      </c>
      <c r="C90" s="245">
        <v>122</v>
      </c>
      <c r="D90" s="245"/>
      <c r="E90" s="245">
        <v>121</v>
      </c>
      <c r="F90" s="245">
        <v>122</v>
      </c>
      <c r="G90" s="245">
        <v>122</v>
      </c>
      <c r="H90" s="245">
        <v>122</v>
      </c>
      <c r="I90" s="245">
        <v>122</v>
      </c>
      <c r="J90" s="245">
        <v>122</v>
      </c>
      <c r="K90" s="245">
        <v>124</v>
      </c>
      <c r="L90" s="245">
        <v>124</v>
      </c>
      <c r="M90" s="245">
        <v>122.6</v>
      </c>
      <c r="N90" s="245">
        <v>122.6</v>
      </c>
      <c r="O90" s="245"/>
      <c r="P90" s="245">
        <v>122.6</v>
      </c>
      <c r="Q90" s="245">
        <v>122.6</v>
      </c>
      <c r="R90" s="245">
        <v>122.6</v>
      </c>
      <c r="S90" s="245">
        <v>119.3</v>
      </c>
      <c r="T90" s="245"/>
      <c r="U90" s="245">
        <v>120.5</v>
      </c>
      <c r="V90" s="245">
        <v>122</v>
      </c>
      <c r="W90" s="245">
        <v>123</v>
      </c>
      <c r="X90" s="245">
        <v>124.6</v>
      </c>
      <c r="Y90" s="245">
        <v>124.8</v>
      </c>
      <c r="Z90" s="245"/>
      <c r="AA90" s="245">
        <v>122.7</v>
      </c>
      <c r="AB90" s="245">
        <v>124.3</v>
      </c>
      <c r="AC90" s="245">
        <v>124.2</v>
      </c>
      <c r="AD90" s="245">
        <v>124.1</v>
      </c>
      <c r="AE90" s="245">
        <v>124.8</v>
      </c>
      <c r="AF90" s="245">
        <v>123.9</v>
      </c>
      <c r="AG90" s="272"/>
      <c r="AH90" s="226">
        <f t="shared" si="13"/>
        <v>124.8</v>
      </c>
      <c r="AI90" s="227">
        <f t="shared" si="15"/>
        <v>119.3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</v>
      </c>
      <c r="C91" s="245">
        <v>127</v>
      </c>
      <c r="D91" s="245"/>
      <c r="E91" s="245">
        <v>127</v>
      </c>
      <c r="F91" s="245">
        <v>127</v>
      </c>
      <c r="G91" s="245">
        <v>127</v>
      </c>
      <c r="H91" s="245">
        <v>127</v>
      </c>
      <c r="I91" s="245">
        <v>127</v>
      </c>
      <c r="J91" s="245">
        <v>127</v>
      </c>
      <c r="K91" s="245">
        <v>127</v>
      </c>
      <c r="L91" s="245">
        <v>127</v>
      </c>
      <c r="M91" s="245">
        <v>126.7</v>
      </c>
      <c r="N91" s="245">
        <v>126.7</v>
      </c>
      <c r="O91" s="245"/>
      <c r="P91" s="245">
        <v>126.7</v>
      </c>
      <c r="Q91" s="245">
        <v>126.7</v>
      </c>
      <c r="R91" s="245">
        <v>126.7</v>
      </c>
      <c r="S91" s="245">
        <v>123</v>
      </c>
      <c r="T91" s="245"/>
      <c r="U91" s="245">
        <v>123.6</v>
      </c>
      <c r="V91" s="245">
        <v>125.3</v>
      </c>
      <c r="W91" s="245">
        <v>126.5</v>
      </c>
      <c r="X91" s="245">
        <v>128</v>
      </c>
      <c r="Y91" s="245">
        <v>128</v>
      </c>
      <c r="Z91" s="245"/>
      <c r="AA91" s="245">
        <v>127</v>
      </c>
      <c r="AB91" s="245">
        <v>128.1</v>
      </c>
      <c r="AC91" s="245">
        <v>127.8</v>
      </c>
      <c r="AD91" s="245">
        <v>128.5</v>
      </c>
      <c r="AE91" s="245">
        <v>128.6</v>
      </c>
      <c r="AF91" s="245">
        <v>128.30000000000001</v>
      </c>
      <c r="AG91" s="272"/>
      <c r="AH91" s="226">
        <f t="shared" si="13"/>
        <v>128.6</v>
      </c>
      <c r="AI91" s="227">
        <f t="shared" si="15"/>
        <v>123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126.5</v>
      </c>
      <c r="C92" s="245">
        <v>126.5</v>
      </c>
      <c r="D92" s="245"/>
      <c r="E92" s="245">
        <v>128</v>
      </c>
      <c r="F92" s="245">
        <v>128</v>
      </c>
      <c r="G92" s="245">
        <v>128</v>
      </c>
      <c r="H92" s="245">
        <v>128</v>
      </c>
      <c r="I92" s="245">
        <v>128</v>
      </c>
      <c r="J92" s="245">
        <v>128</v>
      </c>
      <c r="K92" s="245">
        <v>129</v>
      </c>
      <c r="L92" s="245">
        <v>129</v>
      </c>
      <c r="M92" s="245">
        <v>127</v>
      </c>
      <c r="N92" s="245">
        <v>127</v>
      </c>
      <c r="O92" s="245"/>
      <c r="P92" s="245">
        <v>127</v>
      </c>
      <c r="Q92" s="245">
        <v>127</v>
      </c>
      <c r="R92" s="245">
        <v>127</v>
      </c>
      <c r="S92" s="245">
        <v>126.1</v>
      </c>
      <c r="T92" s="245"/>
      <c r="U92" s="245">
        <v>127</v>
      </c>
      <c r="V92" s="245">
        <v>128</v>
      </c>
      <c r="W92" s="245">
        <v>129.4</v>
      </c>
      <c r="X92" s="245">
        <v>129</v>
      </c>
      <c r="Y92" s="245">
        <v>128</v>
      </c>
      <c r="Z92" s="245"/>
      <c r="AA92" s="245">
        <v>125.4</v>
      </c>
      <c r="AB92" s="245">
        <v>122.5</v>
      </c>
      <c r="AC92" s="245">
        <v>126.9</v>
      </c>
      <c r="AD92" s="245">
        <v>126.1</v>
      </c>
      <c r="AE92" s="245">
        <v>129.30000000000001</v>
      </c>
      <c r="AF92" s="245">
        <v>128.30000000000001</v>
      </c>
      <c r="AG92" s="272"/>
      <c r="AH92" s="226">
        <f t="shared" si="13"/>
        <v>129.4</v>
      </c>
      <c r="AI92" s="227">
        <f t="shared" si="15"/>
        <v>122.5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0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</v>
      </c>
      <c r="C94" s="274">
        <v>132</v>
      </c>
      <c r="D94" s="274"/>
      <c r="E94" s="274">
        <v>131</v>
      </c>
      <c r="F94" s="274">
        <v>131</v>
      </c>
      <c r="G94" s="274">
        <v>131</v>
      </c>
      <c r="H94" s="274">
        <v>131</v>
      </c>
      <c r="I94" s="274">
        <v>131</v>
      </c>
      <c r="J94" s="274">
        <v>131</v>
      </c>
      <c r="K94" s="274">
        <v>131</v>
      </c>
      <c r="L94" s="274">
        <v>131</v>
      </c>
      <c r="M94" s="274">
        <v>132</v>
      </c>
      <c r="N94" s="274">
        <v>132</v>
      </c>
      <c r="O94" s="274"/>
      <c r="P94" s="274">
        <v>132</v>
      </c>
      <c r="Q94" s="274">
        <v>132</v>
      </c>
      <c r="R94" s="274">
        <v>132</v>
      </c>
      <c r="S94" s="274">
        <v>131.69999999999999</v>
      </c>
      <c r="T94" s="274"/>
      <c r="U94" s="274">
        <v>130</v>
      </c>
      <c r="V94" s="274">
        <v>127.5</v>
      </c>
      <c r="W94" s="274">
        <v>134.19999999999999</v>
      </c>
      <c r="X94" s="274">
        <v>133.30000000000001</v>
      </c>
      <c r="Y94" s="274">
        <v>133</v>
      </c>
      <c r="Z94" s="274"/>
      <c r="AA94" s="274">
        <v>129.6</v>
      </c>
      <c r="AB94" s="274">
        <v>131.19999999999999</v>
      </c>
      <c r="AC94" s="274">
        <v>129.69999999999999</v>
      </c>
      <c r="AD94" s="274">
        <v>130.9</v>
      </c>
      <c r="AE94" s="274">
        <v>134</v>
      </c>
      <c r="AF94" s="274">
        <v>134.19999999999999</v>
      </c>
      <c r="AG94" s="275"/>
      <c r="AH94" s="226">
        <f t="shared" si="13"/>
        <v>134.19999999999999</v>
      </c>
      <c r="AI94" s="227">
        <f t="shared" si="15"/>
        <v>127.5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124</v>
      </c>
      <c r="C95" s="245">
        <v>124</v>
      </c>
      <c r="D95" s="245"/>
      <c r="E95" s="245">
        <v>128</v>
      </c>
      <c r="F95" s="245">
        <v>125</v>
      </c>
      <c r="G95" s="245">
        <v>125</v>
      </c>
      <c r="H95" s="245">
        <v>125</v>
      </c>
      <c r="I95" s="245">
        <v>125</v>
      </c>
      <c r="J95" s="245">
        <v>125</v>
      </c>
      <c r="K95" s="245">
        <v>121</v>
      </c>
      <c r="L95" s="245">
        <v>121</v>
      </c>
      <c r="M95" s="245">
        <v>126</v>
      </c>
      <c r="N95" s="245">
        <v>126</v>
      </c>
      <c r="O95" s="245"/>
      <c r="P95" s="245">
        <v>126</v>
      </c>
      <c r="Q95" s="245">
        <v>126</v>
      </c>
      <c r="R95" s="245">
        <v>126</v>
      </c>
      <c r="S95" s="245">
        <v>116.5</v>
      </c>
      <c r="T95" s="245"/>
      <c r="U95" s="245">
        <v>118</v>
      </c>
      <c r="V95" s="245">
        <v>116</v>
      </c>
      <c r="W95" s="245">
        <v>126.2</v>
      </c>
      <c r="X95" s="245">
        <v>126.4</v>
      </c>
      <c r="Y95" s="245">
        <v>124</v>
      </c>
      <c r="Z95" s="245"/>
      <c r="AA95" s="245">
        <v>122.7</v>
      </c>
      <c r="AB95" s="245">
        <v>121.5</v>
      </c>
      <c r="AC95" s="245">
        <v>125.6</v>
      </c>
      <c r="AD95" s="245">
        <v>126.9</v>
      </c>
      <c r="AE95" s="245">
        <v>125.2</v>
      </c>
      <c r="AF95" s="245">
        <v>124.3</v>
      </c>
      <c r="AG95" s="272"/>
      <c r="AH95" s="226">
        <f t="shared" si="13"/>
        <v>128</v>
      </c>
      <c r="AI95" s="227">
        <f t="shared" si="15"/>
        <v>116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64.5</v>
      </c>
      <c r="C96" s="276">
        <v>64.5</v>
      </c>
      <c r="D96" s="276"/>
      <c r="E96" s="276">
        <v>64</v>
      </c>
      <c r="F96" s="276">
        <v>64</v>
      </c>
      <c r="G96" s="276">
        <v>64</v>
      </c>
      <c r="H96" s="276">
        <v>64</v>
      </c>
      <c r="I96" s="276">
        <v>64.2</v>
      </c>
      <c r="J96" s="276">
        <v>64.2</v>
      </c>
      <c r="K96" s="276">
        <v>64.400000000000006</v>
      </c>
      <c r="L96" s="276">
        <v>64.400000000000006</v>
      </c>
      <c r="M96" s="276">
        <v>64</v>
      </c>
      <c r="N96" s="276">
        <v>64</v>
      </c>
      <c r="O96" s="276"/>
      <c r="P96" s="276">
        <v>64</v>
      </c>
      <c r="Q96" s="276">
        <v>64</v>
      </c>
      <c r="R96" s="276">
        <v>64</v>
      </c>
      <c r="S96" s="276">
        <v>63.3</v>
      </c>
      <c r="T96" s="276"/>
      <c r="U96" s="276">
        <v>62.1</v>
      </c>
      <c r="V96" s="276">
        <v>63</v>
      </c>
      <c r="W96" s="276">
        <v>63.6</v>
      </c>
      <c r="X96" s="276">
        <v>64.5</v>
      </c>
      <c r="Y96" s="276">
        <v>64.599999999999994</v>
      </c>
      <c r="Z96" s="276"/>
      <c r="AA96" s="276">
        <v>64.099999999999994</v>
      </c>
      <c r="AB96" s="276">
        <v>64.8</v>
      </c>
      <c r="AC96" s="276">
        <v>65</v>
      </c>
      <c r="AD96" s="276">
        <v>65.2</v>
      </c>
      <c r="AE96" s="276">
        <v>65.2</v>
      </c>
      <c r="AF96" s="276">
        <v>65.099999999999994</v>
      </c>
      <c r="AG96" s="277"/>
      <c r="AH96" s="226">
        <f t="shared" si="13"/>
        <v>65.2</v>
      </c>
      <c r="AI96" s="227">
        <f t="shared" si="15"/>
        <v>62.1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39.4</v>
      </c>
      <c r="C98" s="280">
        <f t="shared" si="22"/>
        <v>45.94</v>
      </c>
      <c r="D98" s="280">
        <f t="shared" si="22"/>
        <v>33.94</v>
      </c>
      <c r="E98" s="280">
        <f t="shared" si="22"/>
        <v>57.94</v>
      </c>
      <c r="F98" s="280">
        <f t="shared" si="22"/>
        <v>46.239999999999981</v>
      </c>
      <c r="G98" s="280">
        <f t="shared" si="22"/>
        <v>62.84</v>
      </c>
      <c r="H98" s="280">
        <f t="shared" si="22"/>
        <v>99.94</v>
      </c>
      <c r="I98" s="280">
        <f t="shared" si="22"/>
        <v>134.94</v>
      </c>
      <c r="J98" s="280">
        <f t="shared" si="22"/>
        <v>172.94</v>
      </c>
      <c r="K98" s="280">
        <f t="shared" si="22"/>
        <v>203.64000000000001</v>
      </c>
      <c r="L98" s="280">
        <f t="shared" si="22"/>
        <v>235.94</v>
      </c>
      <c r="M98" s="280">
        <f t="shared" si="22"/>
        <v>161.74</v>
      </c>
      <c r="N98" s="280">
        <f t="shared" si="22"/>
        <v>155.34000000000003</v>
      </c>
      <c r="O98" s="280"/>
      <c r="P98" s="280">
        <f t="shared" si="22"/>
        <v>183.54</v>
      </c>
      <c r="Q98" s="280">
        <f>SUM(Q15,Q18,Q21:Q22,Q46,Q48:Q49,Q51,Q53,Q99:Q102,Q124,Q130,Q136,Q145,Q147,Q159,Q166,Q169:Q170,Q177,Q179,Q181,Q185:Q187,Q189:Q191,Q196,Q202:Q203,Q205:Q207,Q215,Q220)</f>
        <v>204.4</v>
      </c>
      <c r="R98" s="280">
        <f>SUM(R15,R18,R21:R22,R46,R48:R49,R51,R53,R99:R102,R124,R130,R136,R145,R147,R159,R166,R169:R170,R177,R179,R181,R185:R187,R189:R191,R196,R202:R203,R205:R207,R215,R220)</f>
        <v>213.3</v>
      </c>
      <c r="S98" s="280">
        <f t="shared" si="22"/>
        <v>214.2</v>
      </c>
      <c r="T98" s="280">
        <f t="shared" si="22"/>
        <v>0</v>
      </c>
      <c r="U98" s="280">
        <f t="shared" si="22"/>
        <v>231</v>
      </c>
      <c r="V98" s="280">
        <f t="shared" si="22"/>
        <v>238.1</v>
      </c>
      <c r="W98" s="280">
        <f t="shared" si="22"/>
        <v>222.7</v>
      </c>
      <c r="X98" s="280">
        <f t="shared" si="22"/>
        <v>244.49999999999997</v>
      </c>
      <c r="Y98" s="280">
        <f t="shared" si="22"/>
        <v>263.09999999999997</v>
      </c>
      <c r="Z98" s="280">
        <f t="shared" si="22"/>
        <v>0</v>
      </c>
      <c r="AA98" s="280">
        <f t="shared" si="22"/>
        <v>282.10000000000002</v>
      </c>
      <c r="AB98" s="280">
        <f t="shared" si="22"/>
        <v>185.59999999999997</v>
      </c>
      <c r="AC98" s="280">
        <f t="shared" si="22"/>
        <v>163.6</v>
      </c>
      <c r="AD98" s="280">
        <f t="shared" si="22"/>
        <v>135.29999999999998</v>
      </c>
      <c r="AE98" s="280">
        <f t="shared" si="22"/>
        <v>144</v>
      </c>
      <c r="AF98" s="280">
        <f t="shared" si="22"/>
        <v>110</v>
      </c>
      <c r="AG98" s="281"/>
      <c r="AH98" s="226">
        <f>MAX(C98:AF98)</f>
        <v>282.10000000000002</v>
      </c>
      <c r="AI98" s="227">
        <f>MIN(C98:AF98)</f>
        <v>0</v>
      </c>
    </row>
    <row r="99" spans="1:37" x14ac:dyDescent="0.25">
      <c r="A99" s="268" t="s">
        <v>103</v>
      </c>
      <c r="B99" s="282">
        <v>18</v>
      </c>
      <c r="C99" s="282">
        <v>14</v>
      </c>
      <c r="D99" s="282"/>
      <c r="E99" s="282">
        <f>13+24</f>
        <v>37</v>
      </c>
      <c r="F99" s="282">
        <f>28.7+15.4</f>
        <v>44.1</v>
      </c>
      <c r="G99" s="282">
        <f>31+18</f>
        <v>49</v>
      </c>
      <c r="H99" s="282">
        <v>54</v>
      </c>
      <c r="I99" s="282">
        <f>50+30</f>
        <v>80</v>
      </c>
      <c r="J99" s="282">
        <v>78</v>
      </c>
      <c r="K99" s="282">
        <f>43.7+25.1</f>
        <v>68.800000000000011</v>
      </c>
      <c r="L99" s="282">
        <v>58</v>
      </c>
      <c r="M99" s="282">
        <v>23.2</v>
      </c>
      <c r="N99" s="282">
        <v>24.8</v>
      </c>
      <c r="O99" s="282"/>
      <c r="P99" s="282">
        <v>23.2</v>
      </c>
      <c r="Q99" s="282">
        <v>28</v>
      </c>
      <c r="R99" s="282">
        <v>38</v>
      </c>
      <c r="S99" s="282">
        <v>18.2</v>
      </c>
      <c r="T99" s="282"/>
      <c r="U99" s="282">
        <v>43.4</v>
      </c>
      <c r="V99" s="282">
        <v>23.6</v>
      </c>
      <c r="W99" s="282">
        <v>30.2</v>
      </c>
      <c r="X99" s="282">
        <v>28.7</v>
      </c>
      <c r="Y99" s="282">
        <v>33.200000000000003</v>
      </c>
      <c r="Z99" s="282"/>
      <c r="AA99" s="282">
        <v>26.9</v>
      </c>
      <c r="AB99" s="282">
        <v>24.7</v>
      </c>
      <c r="AC99" s="282">
        <v>18</v>
      </c>
      <c r="AD99" s="282">
        <v>16.2</v>
      </c>
      <c r="AE99" s="282">
        <f>27.7+14.2</f>
        <v>41.9</v>
      </c>
      <c r="AF99" s="282">
        <f>27.4+11.7</f>
        <v>39.099999999999994</v>
      </c>
      <c r="AG99" s="283">
        <v>75</v>
      </c>
      <c r="AH99" s="226">
        <f t="shared" ref="AH99:AH106" si="23">IF(ABS(MAX(C99:AF99))&gt;ABS(MIN(C99:AF99)),MAX(C99:AF99),MIN(C99:AF99))</f>
        <v>80</v>
      </c>
      <c r="AI99" s="284">
        <f t="shared" ref="AI99:AI106" si="24">INDEX($C$9:$AF$9,1,MATCH(AH99,C99:AF99,0))</f>
        <v>0.25</v>
      </c>
    </row>
    <row r="100" spans="1:37" x14ac:dyDescent="0.25">
      <c r="A100" s="271" t="s">
        <v>104</v>
      </c>
      <c r="B100" s="285">
        <v>-150</v>
      </c>
      <c r="C100" s="285">
        <v>-140</v>
      </c>
      <c r="D100" s="285"/>
      <c r="E100" s="285">
        <f>-73-77</f>
        <v>-150</v>
      </c>
      <c r="F100" s="285">
        <f>-73-78.8</f>
        <v>-151.80000000000001</v>
      </c>
      <c r="G100" s="285">
        <f>-68.6-73.5</f>
        <v>-142.1</v>
      </c>
      <c r="H100" s="285">
        <v>-120</v>
      </c>
      <c r="I100" s="285">
        <v>-126</v>
      </c>
      <c r="J100" s="285">
        <f>-49-56</f>
        <v>-105</v>
      </c>
      <c r="K100" s="285">
        <f>-32.1-40</f>
        <v>-72.099999999999994</v>
      </c>
      <c r="L100" s="285">
        <v>-91</v>
      </c>
      <c r="M100" s="285">
        <v>-122</v>
      </c>
      <c r="N100" s="285">
        <v>-130</v>
      </c>
      <c r="O100" s="285"/>
      <c r="P100" s="285">
        <v>-122</v>
      </c>
      <c r="Q100" s="285">
        <f>-68-30</f>
        <v>-98</v>
      </c>
      <c r="R100" s="285">
        <f>-60.2-45.5</f>
        <v>-105.7</v>
      </c>
      <c r="S100" s="285">
        <f>-39-46.3</f>
        <v>-85.3</v>
      </c>
      <c r="T100" s="285"/>
      <c r="U100" s="285">
        <f>-8.8-16</f>
        <v>-24.8</v>
      </c>
      <c r="V100" s="285">
        <f>-9.5-20</f>
        <v>-29.5</v>
      </c>
      <c r="W100" s="285">
        <f>-15.2-24</f>
        <v>-39.200000000000003</v>
      </c>
      <c r="X100" s="285">
        <f>-17-10</f>
        <v>-27</v>
      </c>
      <c r="Y100" s="285">
        <f>-15-26</f>
        <v>-41</v>
      </c>
      <c r="Z100" s="285"/>
      <c r="AA100" s="285">
        <v>-12</v>
      </c>
      <c r="AB100" s="285">
        <v>-63</v>
      </c>
      <c r="AC100" s="285">
        <v>-112</v>
      </c>
      <c r="AD100" s="285">
        <v>-130</v>
      </c>
      <c r="AE100" s="285">
        <f>-48.8-59.5</f>
        <v>-108.3</v>
      </c>
      <c r="AF100" s="285">
        <f>-56.9-66.6</f>
        <v>-123.5</v>
      </c>
      <c r="AG100" s="283">
        <v>240</v>
      </c>
      <c r="AH100" s="226">
        <f t="shared" si="23"/>
        <v>-151.80000000000001</v>
      </c>
      <c r="AI100" s="284">
        <f t="shared" si="24"/>
        <v>0.16666666666666699</v>
      </c>
    </row>
    <row r="101" spans="1:37" x14ac:dyDescent="0.25">
      <c r="A101" s="271" t="s">
        <v>105</v>
      </c>
      <c r="B101" s="285">
        <v>-2.6</v>
      </c>
      <c r="C101" s="285">
        <v>-3</v>
      </c>
      <c r="D101" s="285"/>
      <c r="E101" s="285">
        <v>-4</v>
      </c>
      <c r="F101" s="285">
        <v>-6</v>
      </c>
      <c r="G101" s="285">
        <v>-4</v>
      </c>
      <c r="H101" s="285">
        <v>1</v>
      </c>
      <c r="I101" s="285">
        <v>1</v>
      </c>
      <c r="J101" s="285">
        <v>20</v>
      </c>
      <c r="K101" s="285">
        <v>27</v>
      </c>
      <c r="L101" s="285">
        <v>40</v>
      </c>
      <c r="M101" s="285">
        <v>30.4</v>
      </c>
      <c r="N101" s="285">
        <v>30.4</v>
      </c>
      <c r="O101" s="285"/>
      <c r="P101" s="285">
        <v>30.4</v>
      </c>
      <c r="Q101" s="285">
        <v>30.4</v>
      </c>
      <c r="R101" s="285">
        <v>29</v>
      </c>
      <c r="S101" s="285">
        <v>30.6</v>
      </c>
      <c r="T101" s="285"/>
      <c r="U101" s="285">
        <v>40.4</v>
      </c>
      <c r="V101" s="285">
        <v>57</v>
      </c>
      <c r="W101" s="285">
        <v>43.5</v>
      </c>
      <c r="X101" s="285">
        <v>42.2</v>
      </c>
      <c r="Y101" s="285">
        <v>53.3</v>
      </c>
      <c r="Z101" s="285"/>
      <c r="AA101" s="285">
        <v>57</v>
      </c>
      <c r="AB101" s="285">
        <v>51.3</v>
      </c>
      <c r="AC101" s="285">
        <v>37.6</v>
      </c>
      <c r="AD101" s="285">
        <v>44.7</v>
      </c>
      <c r="AE101" s="285">
        <v>28.9</v>
      </c>
      <c r="AF101" s="285">
        <v>15.6</v>
      </c>
      <c r="AG101" s="283">
        <v>60</v>
      </c>
      <c r="AH101" s="226">
        <f t="shared" si="23"/>
        <v>57</v>
      </c>
      <c r="AI101" s="284">
        <f t="shared" si="24"/>
        <v>0.70833333333333304</v>
      </c>
    </row>
    <row r="102" spans="1:37" x14ac:dyDescent="0.25">
      <c r="A102" s="286" t="s">
        <v>106</v>
      </c>
      <c r="B102" s="287">
        <v>0</v>
      </c>
      <c r="C102" s="287">
        <v>0</v>
      </c>
      <c r="D102" s="287"/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47</v>
      </c>
      <c r="M102" s="287">
        <v>48.2</v>
      </c>
      <c r="N102" s="287">
        <v>48.2</v>
      </c>
      <c r="O102" s="287"/>
      <c r="P102" s="287">
        <v>70</v>
      </c>
      <c r="Q102" s="287">
        <v>63</v>
      </c>
      <c r="R102" s="287">
        <v>71</v>
      </c>
      <c r="S102" s="287">
        <v>69.7</v>
      </c>
      <c r="T102" s="287"/>
      <c r="U102" s="287">
        <v>0</v>
      </c>
      <c r="V102" s="287">
        <v>0</v>
      </c>
      <c r="W102" s="287">
        <v>0</v>
      </c>
      <c r="X102" s="287">
        <v>12.4</v>
      </c>
      <c r="Y102" s="287">
        <v>29.4</v>
      </c>
      <c r="Z102" s="287"/>
      <c r="AA102" s="287">
        <v>44</v>
      </c>
      <c r="AB102" s="287">
        <v>13</v>
      </c>
      <c r="AC102" s="287">
        <v>60.4</v>
      </c>
      <c r="AD102" s="287">
        <v>44.8</v>
      </c>
      <c r="AE102" s="287">
        <v>0</v>
      </c>
      <c r="AF102" s="287">
        <v>0</v>
      </c>
      <c r="AG102" s="288">
        <v>120</v>
      </c>
      <c r="AH102" s="226">
        <f t="shared" si="23"/>
        <v>71</v>
      </c>
      <c r="AI102" s="284">
        <f t="shared" si="24"/>
        <v>0.54166666666666696</v>
      </c>
    </row>
    <row r="103" spans="1:37" x14ac:dyDescent="0.25">
      <c r="A103" s="286" t="s">
        <v>107</v>
      </c>
      <c r="B103" s="287">
        <v>43</v>
      </c>
      <c r="C103" s="287">
        <v>53</v>
      </c>
      <c r="D103" s="287"/>
      <c r="E103" s="287">
        <v>38</v>
      </c>
      <c r="F103" s="287">
        <v>32</v>
      </c>
      <c r="G103" s="287">
        <v>32</v>
      </c>
      <c r="H103" s="287">
        <v>51</v>
      </c>
      <c r="I103" s="287">
        <v>40</v>
      </c>
      <c r="J103" s="287">
        <v>45</v>
      </c>
      <c r="K103" s="287">
        <v>58</v>
      </c>
      <c r="L103" s="287">
        <v>53</v>
      </c>
      <c r="M103" s="287">
        <v>52.4</v>
      </c>
      <c r="N103" s="287">
        <v>52.4</v>
      </c>
      <c r="O103" s="287"/>
      <c r="P103" s="287">
        <v>52.4</v>
      </c>
      <c r="Q103" s="287">
        <v>52.4</v>
      </c>
      <c r="R103" s="287">
        <v>52.4</v>
      </c>
      <c r="S103" s="287">
        <v>66.2</v>
      </c>
      <c r="T103" s="287"/>
      <c r="U103" s="287">
        <v>97</v>
      </c>
      <c r="V103" s="287">
        <v>79.099999999999994</v>
      </c>
      <c r="W103" s="287">
        <v>75.400000000000006</v>
      </c>
      <c r="X103" s="287">
        <v>83</v>
      </c>
      <c r="Y103" s="287">
        <v>57</v>
      </c>
      <c r="Z103" s="287"/>
      <c r="AA103" s="287">
        <v>85</v>
      </c>
      <c r="AB103" s="287">
        <v>85</v>
      </c>
      <c r="AC103" s="287">
        <v>52.1</v>
      </c>
      <c r="AD103" s="287">
        <v>45.8</v>
      </c>
      <c r="AE103" s="287">
        <v>46.6</v>
      </c>
      <c r="AF103" s="287">
        <v>47.7</v>
      </c>
      <c r="AG103" s="288"/>
      <c r="AH103" s="226">
        <f t="shared" si="23"/>
        <v>97</v>
      </c>
      <c r="AI103" s="284">
        <f t="shared" si="24"/>
        <v>0.66666666666666696</v>
      </c>
    </row>
    <row r="104" spans="1:37" x14ac:dyDescent="0.25">
      <c r="A104" s="286" t="s">
        <v>108</v>
      </c>
      <c r="B104" s="287">
        <v>30</v>
      </c>
      <c r="C104" s="287">
        <v>38</v>
      </c>
      <c r="D104" s="287"/>
      <c r="E104" s="287">
        <v>42</v>
      </c>
      <c r="F104" s="287">
        <v>32</v>
      </c>
      <c r="G104" s="287">
        <v>32</v>
      </c>
      <c r="H104" s="287">
        <v>21</v>
      </c>
      <c r="I104" s="287">
        <v>11</v>
      </c>
      <c r="J104" s="287">
        <v>11</v>
      </c>
      <c r="K104" s="287">
        <v>24</v>
      </c>
      <c r="L104" s="287">
        <v>27</v>
      </c>
      <c r="M104" s="287">
        <v>5.8</v>
      </c>
      <c r="N104" s="287">
        <v>5.8</v>
      </c>
      <c r="O104" s="287"/>
      <c r="P104" s="287">
        <v>5.8</v>
      </c>
      <c r="Q104" s="287">
        <v>5.8</v>
      </c>
      <c r="R104" s="287">
        <v>5.8</v>
      </c>
      <c r="S104" s="287">
        <v>34.700000000000003</v>
      </c>
      <c r="T104" s="287"/>
      <c r="U104" s="287">
        <v>19</v>
      </c>
      <c r="V104" s="287">
        <v>44.5</v>
      </c>
      <c r="W104" s="287">
        <v>22.8</v>
      </c>
      <c r="X104" s="287">
        <v>35.299999999999997</v>
      </c>
      <c r="Y104" s="287">
        <v>4.5999999999999996</v>
      </c>
      <c r="Z104" s="287"/>
      <c r="AA104" s="287">
        <v>35</v>
      </c>
      <c r="AB104" s="287">
        <v>39.5</v>
      </c>
      <c r="AC104" s="287">
        <v>46</v>
      </c>
      <c r="AD104" s="287">
        <v>53.5</v>
      </c>
      <c r="AE104" s="287">
        <v>69</v>
      </c>
      <c r="AF104" s="287">
        <v>65.400000000000006</v>
      </c>
      <c r="AG104" s="289"/>
      <c r="AH104" s="226">
        <f t="shared" si="23"/>
        <v>69</v>
      </c>
      <c r="AI104" s="284">
        <f t="shared" si="24"/>
        <v>0.91666666666666696</v>
      </c>
    </row>
    <row r="105" spans="1:37" x14ac:dyDescent="0.25">
      <c r="A105" s="290" t="s">
        <v>109</v>
      </c>
      <c r="B105" s="274">
        <v>91</v>
      </c>
      <c r="C105" s="274">
        <v>91</v>
      </c>
      <c r="D105" s="274"/>
      <c r="E105" s="274">
        <v>97</v>
      </c>
      <c r="F105" s="274">
        <v>97</v>
      </c>
      <c r="G105" s="274">
        <v>97</v>
      </c>
      <c r="H105" s="274">
        <v>103</v>
      </c>
      <c r="I105" s="274">
        <v>78</v>
      </c>
      <c r="J105" s="274">
        <v>96</v>
      </c>
      <c r="K105" s="274">
        <v>80</v>
      </c>
      <c r="L105" s="274">
        <v>84</v>
      </c>
      <c r="M105" s="274">
        <v>79.599999999999994</v>
      </c>
      <c r="N105" s="274">
        <v>79.599999999999994</v>
      </c>
      <c r="O105" s="274"/>
      <c r="P105" s="274">
        <v>79.599999999999994</v>
      </c>
      <c r="Q105" s="274">
        <v>79.599999999999994</v>
      </c>
      <c r="R105" s="274">
        <v>79.599999999999994</v>
      </c>
      <c r="S105" s="274">
        <v>86.8</v>
      </c>
      <c r="T105" s="274"/>
      <c r="U105" s="274">
        <v>84</v>
      </c>
      <c r="V105" s="274">
        <v>77</v>
      </c>
      <c r="W105" s="274">
        <v>94.8</v>
      </c>
      <c r="X105" s="274">
        <v>78</v>
      </c>
      <c r="Y105" s="274">
        <v>76</v>
      </c>
      <c r="Z105" s="274"/>
      <c r="AA105" s="274">
        <v>0</v>
      </c>
      <c r="AB105" s="274">
        <v>0</v>
      </c>
      <c r="AC105" s="274">
        <v>0</v>
      </c>
      <c r="AD105" s="274">
        <v>0</v>
      </c>
      <c r="AE105" s="274">
        <v>8</v>
      </c>
      <c r="AF105" s="274">
        <v>70.400000000000006</v>
      </c>
      <c r="AG105" s="289"/>
      <c r="AH105" s="226">
        <f t="shared" si="23"/>
        <v>103</v>
      </c>
      <c r="AI105" s="284">
        <f t="shared" si="24"/>
        <v>0.22916666666666666</v>
      </c>
    </row>
    <row r="106" spans="1:37" ht="15.75" thickBot="1" x14ac:dyDescent="0.3">
      <c r="A106" s="290" t="s">
        <v>110</v>
      </c>
      <c r="B106" s="274">
        <v>102</v>
      </c>
      <c r="C106" s="274">
        <v>100</v>
      </c>
      <c r="D106" s="274"/>
      <c r="E106" s="274">
        <v>90</v>
      </c>
      <c r="F106" s="274">
        <v>98</v>
      </c>
      <c r="G106" s="274">
        <v>90</v>
      </c>
      <c r="H106" s="274">
        <v>78</v>
      </c>
      <c r="I106" s="274">
        <v>86</v>
      </c>
      <c r="J106" s="274">
        <v>83</v>
      </c>
      <c r="K106" s="274">
        <v>63</v>
      </c>
      <c r="L106" s="274">
        <v>85</v>
      </c>
      <c r="M106" s="274">
        <v>82.8</v>
      </c>
      <c r="N106" s="274">
        <v>82.8</v>
      </c>
      <c r="O106" s="274"/>
      <c r="P106" s="274">
        <v>82.8</v>
      </c>
      <c r="Q106" s="274">
        <v>72</v>
      </c>
      <c r="R106" s="274">
        <v>63.4</v>
      </c>
      <c r="S106" s="274">
        <v>62.5</v>
      </c>
      <c r="T106" s="274"/>
      <c r="U106" s="274">
        <v>28.4</v>
      </c>
      <c r="V106" s="274">
        <v>41.7</v>
      </c>
      <c r="W106" s="274">
        <v>44.5</v>
      </c>
      <c r="X106" s="274">
        <v>30.5</v>
      </c>
      <c r="Y106" s="274">
        <v>56.7</v>
      </c>
      <c r="Z106" s="274"/>
      <c r="AA106" s="274"/>
      <c r="AB106" s="274">
        <v>38.299999999999997</v>
      </c>
      <c r="AC106" s="274">
        <v>66.599999999999994</v>
      </c>
      <c r="AD106" s="274">
        <v>82.2</v>
      </c>
      <c r="AE106" s="274">
        <v>85</v>
      </c>
      <c r="AF106" s="274">
        <v>91</v>
      </c>
      <c r="AG106" s="289"/>
      <c r="AH106" s="226">
        <f t="shared" si="23"/>
        <v>100</v>
      </c>
      <c r="AI106" s="284">
        <f t="shared" si="24"/>
        <v>4.1666666666666664E-2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1931.1399999999999</v>
      </c>
      <c r="C230" s="333">
        <f>INDEX(G9:N9,1,MATCH(MAX(G79:N79),G79:N79,0))</f>
        <v>0.3125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1857.6399999999999</v>
      </c>
      <c r="U235" s="343">
        <f t="shared" si="31"/>
        <v>1852.6399999999999</v>
      </c>
      <c r="V235" s="343">
        <f t="shared" si="31"/>
        <v>1859.94</v>
      </c>
      <c r="W235" s="343">
        <f t="shared" si="31"/>
        <v>1828.54</v>
      </c>
      <c r="X235" s="343">
        <f t="shared" si="31"/>
        <v>1822.6399999999999</v>
      </c>
      <c r="Y235" s="343">
        <f t="shared" si="31"/>
        <v>1843.6399999999999</v>
      </c>
      <c r="Z235" s="343">
        <f t="shared" si="31"/>
        <v>1857.94</v>
      </c>
      <c r="AA235" s="343">
        <f t="shared" si="31"/>
        <v>1855.1399999999999</v>
      </c>
      <c r="AB235" s="343">
        <f t="shared" si="31"/>
        <v>1895.7399999999998</v>
      </c>
      <c r="AC235" s="343">
        <f t="shared" si="31"/>
        <v>1898.1399999999999</v>
      </c>
      <c r="AD235" s="343">
        <f t="shared" si="31"/>
        <v>1931.1399999999999</v>
      </c>
      <c r="AE235" s="343">
        <f t="shared" si="31"/>
        <v>1913.8400000000001</v>
      </c>
      <c r="AF235" s="343">
        <f t="shared" si="31"/>
        <v>1896.44</v>
      </c>
      <c r="AG235" s="343">
        <f t="shared" si="31"/>
        <v>0</v>
      </c>
      <c r="AH235" s="343">
        <f t="shared" si="31"/>
        <v>1885.94</v>
      </c>
      <c r="AI235" s="343">
        <f t="shared" si="31"/>
        <v>1895.1399999999999</v>
      </c>
      <c r="AJ235" s="343">
        <f t="shared" si="31"/>
        <v>1918.04</v>
      </c>
      <c r="AK235" s="343">
        <f t="shared" si="31"/>
        <v>1925.54</v>
      </c>
      <c r="AL235" s="343">
        <f t="shared" si="31"/>
        <v>3.54</v>
      </c>
      <c r="AM235" s="343">
        <f t="shared" si="31"/>
        <v>1932.3400000000001</v>
      </c>
      <c r="AN235" s="343">
        <f t="shared" si="31"/>
        <v>1834.54</v>
      </c>
      <c r="AO235" s="343">
        <f t="shared" si="31"/>
        <v>1964.44</v>
      </c>
      <c r="AP235" s="343">
        <f t="shared" si="31"/>
        <v>1920.6399999999999</v>
      </c>
      <c r="AQ235" s="343">
        <f t="shared" si="31"/>
        <v>1950.6399999999999</v>
      </c>
      <c r="AR235" s="343">
        <f t="shared" si="31"/>
        <v>3.54</v>
      </c>
      <c r="AS235" s="343">
        <f t="shared" si="31"/>
        <v>1894.84</v>
      </c>
      <c r="AT235" s="343">
        <f t="shared" si="31"/>
        <v>1980.3400000000001</v>
      </c>
      <c r="AU235" s="343">
        <f t="shared" si="31"/>
        <v>1963.84</v>
      </c>
      <c r="AV235" s="343">
        <f t="shared" si="31"/>
        <v>2019.5400000000002</v>
      </c>
      <c r="AW235" s="343">
        <f t="shared" si="31"/>
        <v>1989.3400000000001</v>
      </c>
      <c r="AX235" s="343">
        <f t="shared" si="31"/>
        <v>1868.14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50">
    <mergeCell ref="A232:B232"/>
    <mergeCell ref="O11:O37"/>
    <mergeCell ref="T11:T37"/>
    <mergeCell ref="AB9:AB10"/>
    <mergeCell ref="AC9:AC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D9:AD10"/>
    <mergeCell ref="AE9:AE10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U11:AF11">
    <cfRule type="expression" dxfId="8168" priority="265">
      <formula>B$9&gt;=20/24</formula>
    </cfRule>
    <cfRule type="expression" dxfId="8167" priority="266">
      <formula>AND(B$9&gt;=14/24,B$9&lt;20/24)</formula>
    </cfRule>
    <cfRule type="expression" dxfId="8166" priority="267">
      <formula>AND(B$9&gt;=8/24,B$9&lt;14/24)</formula>
    </cfRule>
    <cfRule type="expression" dxfId="8165" priority="268">
      <formula>B$9&lt;8/24</formula>
    </cfRule>
  </conditionalFormatting>
  <conditionalFormatting sqref="AL4:AL6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S37 U37:AF37">
    <cfRule type="expression" dxfId="8164" priority="260">
      <formula>S$9&gt;=20/24</formula>
    </cfRule>
    <cfRule type="expression" dxfId="8163" priority="261">
      <formula>AND(S$9&gt;=14/24,S$9&lt;20/24)</formula>
    </cfRule>
    <cfRule type="expression" dxfId="8162" priority="262">
      <formula>AND(S$9&gt;=8/24,S$9&lt;14/24)</formula>
    </cfRule>
    <cfRule type="expression" dxfId="8161" priority="263">
      <formula>S$9&lt;8/24</formula>
    </cfRule>
  </conditionalFormatting>
  <conditionalFormatting sqref="AG55 S37 D11:D16 B12:C16 E16:N16 B35:N35 M11:S11 P35:S35 P16:S16 U37:AF37 U35:AF35 U11:AF16">
    <cfRule type="expression" dxfId="8160" priority="259">
      <formula>B11&gt;$AG11</formula>
    </cfRule>
  </conditionalFormatting>
  <conditionalFormatting sqref="A89:A102 A11:A14 A49:A76 A85:A87 A191:A221 A16:A30 A36:A47 A107:A178 A32:A33 A81:A83 A78:A79">
    <cfRule type="expression" dxfId="8159" priority="258">
      <formula>$AH11=0</formula>
    </cfRule>
  </conditionalFormatting>
  <conditionalFormatting sqref="A103">
    <cfRule type="expression" dxfId="8158" priority="257">
      <formula>$AH103=0</formula>
    </cfRule>
  </conditionalFormatting>
  <conditionalFormatting sqref="AL3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8157" priority="255">
      <formula>$AH35=0</formula>
    </cfRule>
  </conditionalFormatting>
  <conditionalFormatting sqref="A88">
    <cfRule type="expression" dxfId="8156" priority="254">
      <formula>$AH88=0</formula>
    </cfRule>
  </conditionalFormatting>
  <conditionalFormatting sqref="A15">
    <cfRule type="expression" dxfId="8155" priority="253">
      <formula>$AH15=0</formula>
    </cfRule>
  </conditionalFormatting>
  <conditionalFormatting sqref="A185:A190">
    <cfRule type="expression" dxfId="8154" priority="252">
      <formula>$AH185=0</formula>
    </cfRule>
  </conditionalFormatting>
  <conditionalFormatting sqref="A179:A184">
    <cfRule type="expression" dxfId="8153" priority="251">
      <formula>$AH179=0</formula>
    </cfRule>
  </conditionalFormatting>
  <conditionalFormatting sqref="A48">
    <cfRule type="expression" dxfId="8152" priority="250">
      <formula>$AH48=0</formula>
    </cfRule>
  </conditionalFormatting>
  <conditionalFormatting sqref="A84">
    <cfRule type="expression" dxfId="8151" priority="249">
      <formula>$AH84=0</formula>
    </cfRule>
  </conditionalFormatting>
  <conditionalFormatting sqref="D89:AF89">
    <cfRule type="expression" dxfId="8150" priority="245">
      <formula>D$9&gt;=20/24</formula>
    </cfRule>
    <cfRule type="expression" dxfId="8149" priority="246">
      <formula>AND(D$9&gt;=14/24,D$9&lt;20/24)</formula>
    </cfRule>
    <cfRule type="expression" dxfId="8148" priority="247">
      <formula>AND(D$9&gt;=8/24,D$9&lt;14/24)</formula>
    </cfRule>
    <cfRule type="expression" dxfId="8147" priority="248">
      <formula>D$9&lt;8/24</formula>
    </cfRule>
  </conditionalFormatting>
  <conditionalFormatting sqref="AL34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146" priority="271">
      <formula>C$9&gt;=20/24</formula>
    </cfRule>
    <cfRule type="expression" dxfId="8145" priority="272">
      <formula>AND(C$9&gt;=14/24,C$9&lt;20/24)</formula>
    </cfRule>
    <cfRule type="expression" dxfId="8144" priority="273">
      <formula>AND(C$9&gt;=8/24,C$9&lt;14/24)</formula>
    </cfRule>
    <cfRule type="expression" dxfId="8143" priority="274">
      <formula>C$9&lt;8/24</formula>
    </cfRule>
  </conditionalFormatting>
  <conditionalFormatting sqref="A222">
    <cfRule type="expression" dxfId="8142" priority="275">
      <formula>$AH222=0</formula>
    </cfRule>
  </conditionalFormatting>
  <conditionalFormatting sqref="AG234">
    <cfRule type="expression" dxfId="8141" priority="276">
      <formula>B$9&gt;=20/24</formula>
    </cfRule>
    <cfRule type="expression" dxfId="8140" priority="277">
      <formula>AND(B$9&gt;=14/24,B$9&lt;20/24)</formula>
    </cfRule>
    <cfRule type="expression" dxfId="8139" priority="278">
      <formula>AND(B$9&gt;=8/24,B$9&lt;14/24)</formula>
    </cfRule>
    <cfRule type="expression" dxfId="8138" priority="279">
      <formula>B$9&lt;8/24</formula>
    </cfRule>
  </conditionalFormatting>
  <conditionalFormatting sqref="S8">
    <cfRule type="expression" dxfId="8137" priority="240">
      <formula>U$9&gt;=20/24</formula>
    </cfRule>
    <cfRule type="expression" dxfId="8136" priority="241">
      <formula>AND(U$9&gt;=14/24,U$9&lt;20/24)</formula>
    </cfRule>
    <cfRule type="expression" dxfId="8135" priority="242">
      <formula>AND(U$9&gt;=8/24,U$9&lt;14/24)</formula>
    </cfRule>
    <cfRule type="expression" dxfId="8134" priority="243">
      <formula>U$9&lt;8/24</formula>
    </cfRule>
  </conditionalFormatting>
  <conditionalFormatting sqref="AB8">
    <cfRule type="expression" dxfId="8133" priority="236">
      <formula>AD$9&gt;=20/24</formula>
    </cfRule>
    <cfRule type="expression" dxfId="8132" priority="237">
      <formula>AND(AD$9&gt;=14/24,AD$9&lt;20/24)</formula>
    </cfRule>
    <cfRule type="expression" dxfId="8131" priority="238">
      <formula>AND(AD$9&gt;=8/24,AD$9&lt;14/24)</formula>
    </cfRule>
    <cfRule type="expression" dxfId="8130" priority="239">
      <formula>AD$9&lt;8/24</formula>
    </cfRule>
  </conditionalFormatting>
  <conditionalFormatting sqref="AH234:AX234">
    <cfRule type="expression" dxfId="8129" priority="280">
      <formula>AG$9&gt;=20/24</formula>
    </cfRule>
    <cfRule type="expression" dxfId="8128" priority="281">
      <formula>AND(AG$9&gt;=14/24,AG$9&lt;20/24)</formula>
    </cfRule>
    <cfRule type="expression" dxfId="8127" priority="282">
      <formula>AND(AG$9&gt;=8/24,AG$9&lt;14/24)</formula>
    </cfRule>
    <cfRule type="expression" dxfId="8126" priority="283">
      <formula>AG$9&lt;8/24</formula>
    </cfRule>
  </conditionalFormatting>
  <conditionalFormatting sqref="T234">
    <cfRule type="expression" dxfId="8125" priority="284">
      <formula>AX$9&gt;=20/24</formula>
    </cfRule>
    <cfRule type="expression" dxfId="8124" priority="285">
      <formula>AND(AX$9&gt;=14/24,AX$9&lt;20/24)</formula>
    </cfRule>
    <cfRule type="expression" dxfId="8123" priority="286">
      <formula>AND(AX$9&gt;=8/24,AX$9&lt;14/24)</formula>
    </cfRule>
    <cfRule type="expression" dxfId="8122" priority="287">
      <formula>AX$9&lt;8/24</formula>
    </cfRule>
  </conditionalFormatting>
  <conditionalFormatting sqref="A104:A105">
    <cfRule type="expression" dxfId="8121" priority="235">
      <formula>$AH104=0</formula>
    </cfRule>
  </conditionalFormatting>
  <conditionalFormatting sqref="T44:T45 Z44:Z45 E11:L11 G44:L45 C61:T61 Z61 AB61:AF61 AE44:AF45 Z36:AF36">
    <cfRule type="expression" dxfId="8120" priority="231">
      <formula>C$9&gt;=20/24</formula>
    </cfRule>
    <cfRule type="expression" dxfId="8119" priority="232">
      <formula>AND(C$9&gt;=14/24,C$9&lt;20/24)</formula>
    </cfRule>
    <cfRule type="expression" dxfId="8118" priority="233">
      <formula>AND(C$9&gt;=8/24,C$9&lt;14/24)</formula>
    </cfRule>
    <cfRule type="expression" dxfId="8117" priority="234">
      <formula>C$9&lt;8/24</formula>
    </cfRule>
  </conditionalFormatting>
  <conditionalFormatting sqref="T43 Z43 G43:L43 AE43:AF43">
    <cfRule type="expression" dxfId="8116" priority="227">
      <formula>G$9&gt;=20/24</formula>
    </cfRule>
    <cfRule type="expression" dxfId="8115" priority="228">
      <formula>AND(G$9&gt;=14/24,G$9&lt;20/24)</formula>
    </cfRule>
    <cfRule type="expression" dxfId="8114" priority="229">
      <formula>AND(G$9&gt;=8/24,G$9&lt;14/24)</formula>
    </cfRule>
    <cfRule type="expression" dxfId="8113" priority="230">
      <formula>G$9&lt;8/24</formula>
    </cfRule>
  </conditionalFormatting>
  <conditionalFormatting sqref="T43:T45 Z43:Z45 E11:L11 G43:L45 AE43:AF45 Z36:AF36">
    <cfRule type="expression" dxfId="8112" priority="226">
      <formula>E11&gt;$AG11</formula>
    </cfRule>
  </conditionalFormatting>
  <conditionalFormatting sqref="C62:E67 C71:L71 F64:L67 M36:N37 M16:N16 M18:N22 M24:N26 M28:N32 S62:T71 E12:N14 D90:AF96 P36:R37 M11:R11 F62:R63 P12:R14 S36 P28:S32 S11:S14 P24:S26 P18:S22 P16:S16 M64:S71 Z62:Z71 U36:Y36 J57:AF59 C73:AF76 C86:AF86 U28:AF32 U12:AF14 U16:AF16 U18:AF22 U24:AF26 AB62:AF71">
    <cfRule type="expression" dxfId="8111" priority="222">
      <formula>C$9&gt;=20/24</formula>
    </cfRule>
    <cfRule type="expression" dxfId="8110" priority="223">
      <formula>AND(C$9&gt;=14/24,C$9&lt;20/24)</formula>
    </cfRule>
    <cfRule type="expression" dxfId="8109" priority="224">
      <formula>AND(C$9&gt;=8/24,C$9&lt;14/24)</formula>
    </cfRule>
    <cfRule type="expression" dxfId="8108" priority="225">
      <formula>C$9&lt;8/24</formula>
    </cfRule>
  </conditionalFormatting>
  <conditionalFormatting sqref="M33:N33 P33:S33 U33:AF33">
    <cfRule type="expression" dxfId="8107" priority="218">
      <formula>M$9&gt;=20/24</formula>
    </cfRule>
    <cfRule type="expression" dxfId="8106" priority="219">
      <formula>AND(M$9&gt;=14/24,M$9&lt;20/24)</formula>
    </cfRule>
    <cfRule type="expression" dxfId="8105" priority="220">
      <formula>AND(M$9&gt;=8/24,M$9&lt;14/24)</formula>
    </cfRule>
    <cfRule type="expression" dxfId="8104" priority="221">
      <formula>M$9&lt;8/24</formula>
    </cfRule>
  </conditionalFormatting>
  <conditionalFormatting sqref="M36 C37:M37 N36:N37 M18:N22 M24:N33 E12:N15 C55:AF55 M11:R11 P36:R37 P12:R15 S36 P24:S33 S11:S15 P18:S22 U36:Y36 J57:AF59 AE46:AF47 U24:AF33 U18:AF22">
    <cfRule type="expression" dxfId="8103" priority="217">
      <formula>C11&gt;$AG11</formula>
    </cfRule>
  </conditionalFormatting>
  <conditionalFormatting sqref="M35:N35 P35:S35 U35:AF35">
    <cfRule type="expression" dxfId="8102" priority="213">
      <formula>M$9&gt;=20/24</formula>
    </cfRule>
    <cfRule type="expression" dxfId="8101" priority="214">
      <formula>AND(M$9&gt;=14/24,M$9&lt;20/24)</formula>
    </cfRule>
    <cfRule type="expression" dxfId="8100" priority="215">
      <formula>AND(M$9&gt;=8/24,M$9&lt;14/24)</formula>
    </cfRule>
    <cfRule type="expression" dxfId="8099" priority="216">
      <formula>M$9&lt;8/24</formula>
    </cfRule>
  </conditionalFormatting>
  <conditionalFormatting sqref="E15:N15 P15:S15 U15:AF15">
    <cfRule type="expression" dxfId="8098" priority="209">
      <formula>E$9&gt;=20/24</formula>
    </cfRule>
    <cfRule type="expression" dxfId="8097" priority="210">
      <formula>AND(E$9&gt;=14/24,E$9&lt;20/24)</formula>
    </cfRule>
    <cfRule type="expression" dxfId="8096" priority="211">
      <formula>AND(E$9&gt;=8/24,E$9&lt;14/24)</formula>
    </cfRule>
    <cfRule type="expression" dxfId="8095" priority="212">
      <formula>E$9&lt;8/24</formula>
    </cfRule>
  </conditionalFormatting>
  <conditionalFormatting sqref="M34:N34 P34:S34 U34:AF34">
    <cfRule type="expression" dxfId="8094" priority="205">
      <formula>M$9&gt;=20/24</formula>
    </cfRule>
    <cfRule type="expression" dxfId="8093" priority="206">
      <formula>AND(M$9&gt;=14/24,M$9&lt;20/24)</formula>
    </cfRule>
    <cfRule type="expression" dxfId="8092" priority="207">
      <formula>AND(M$9&gt;=8/24,M$9&lt;14/24)</formula>
    </cfRule>
    <cfRule type="expression" dxfId="8091" priority="208">
      <formula>M$9&lt;8/24</formula>
    </cfRule>
  </conditionalFormatting>
  <conditionalFormatting sqref="M34:N34 P34:S34 U34:AF34">
    <cfRule type="expression" dxfId="8090" priority="204">
      <formula>M34&gt;$AG34</formula>
    </cfRule>
  </conditionalFormatting>
  <conditionalFormatting sqref="Z46:Z47 AE48:AF54">
    <cfRule type="expression" dxfId="8089" priority="196">
      <formula>Z$9&gt;=20/24</formula>
    </cfRule>
    <cfRule type="expression" dxfId="8088" priority="197">
      <formula>AND(Z$9&gt;=14/24,Z$9&lt;20/24)</formula>
    </cfRule>
    <cfRule type="expression" dxfId="8087" priority="198">
      <formula>AND(Z$9&gt;=8/24,Z$9&lt;14/24)</formula>
    </cfRule>
    <cfRule type="expression" dxfId="8086" priority="199">
      <formula>Z$9&lt;8/24</formula>
    </cfRule>
  </conditionalFormatting>
  <conditionalFormatting sqref="Z46:Z47 AE48:AF54">
    <cfRule type="expression" dxfId="8085" priority="195">
      <formula>Z46&gt;$AG46</formula>
    </cfRule>
  </conditionalFormatting>
  <conditionalFormatting sqref="T46:T54 Z48:Z54 M43:S54">
    <cfRule type="expression" dxfId="8084" priority="191">
      <formula>M$9&gt;=20/24</formula>
    </cfRule>
    <cfRule type="expression" dxfId="8083" priority="192">
      <formula>AND(M$9&gt;=14/24,M$9&lt;20/24)</formula>
    </cfRule>
    <cfRule type="expression" dxfId="8082" priority="193">
      <formula>AND(M$9&gt;=8/24,M$9&lt;14/24)</formula>
    </cfRule>
    <cfRule type="expression" dxfId="8081" priority="194">
      <formula>M$9&lt;8/24</formula>
    </cfRule>
  </conditionalFormatting>
  <conditionalFormatting sqref="T46:T54 Z48:Z54 M43:S54">
    <cfRule type="expression" dxfId="8080" priority="190">
      <formula>M43&gt;$AG43</formula>
    </cfRule>
  </conditionalFormatting>
  <conditionalFormatting sqref="M27:N27 P27:S27 U27:AF27">
    <cfRule type="expression" dxfId="8079" priority="186">
      <formula>M$9&gt;=20/24</formula>
    </cfRule>
    <cfRule type="expression" dxfId="8078" priority="187">
      <formula>AND(M$9&gt;=14/24,M$9&lt;20/24)</formula>
    </cfRule>
    <cfRule type="expression" dxfId="8077" priority="188">
      <formula>AND(M$9&gt;=8/24,M$9&lt;14/24)</formula>
    </cfRule>
    <cfRule type="expression" dxfId="8076" priority="189">
      <formula>M$9&lt;8/24</formula>
    </cfRule>
  </conditionalFormatting>
  <conditionalFormatting sqref="D11:D14 D16:L29 M23:N23 M17:N17 P17:S17 P23:S23 U23:AF23 U17:AF17">
    <cfRule type="expression" dxfId="8075" priority="182">
      <formula>D$9&gt;=20/24</formula>
    </cfRule>
    <cfRule type="expression" dxfId="8074" priority="183">
      <formula>AND(D$9&gt;=14/24,D$9&lt;20/24)</formula>
    </cfRule>
    <cfRule type="expression" dxfId="8073" priority="184">
      <formula>AND(D$9&gt;=8/24,D$9&lt;14/24)</formula>
    </cfRule>
    <cfRule type="expression" dxfId="8072" priority="185">
      <formula>D$9&lt;8/24</formula>
    </cfRule>
  </conditionalFormatting>
  <conditionalFormatting sqref="D17:L29 M23:N23 M17:N17 P17:S17 P23:S23 U23:AF23 U17:AF17">
    <cfRule type="expression" dxfId="8071" priority="177">
      <formula>D17&gt;$AG17</formula>
    </cfRule>
  </conditionalFormatting>
  <conditionalFormatting sqref="D15">
    <cfRule type="expression" dxfId="8070" priority="169">
      <formula>D$9&gt;=20/24</formula>
    </cfRule>
    <cfRule type="expression" dxfId="8069" priority="170">
      <formula>AND(D$9&gt;=14/24,D$9&lt;20/24)</formula>
    </cfRule>
    <cfRule type="expression" dxfId="8068" priority="171">
      <formula>AND(D$9&gt;=8/24,D$9&lt;14/24)</formula>
    </cfRule>
    <cfRule type="expression" dxfId="8067" priority="172">
      <formula>D$9&lt;8/24</formula>
    </cfRule>
  </conditionalFormatting>
  <conditionalFormatting sqref="C68:L70">
    <cfRule type="expression" dxfId="8066" priority="151">
      <formula>C$9&gt;=20/24</formula>
    </cfRule>
    <cfRule type="expression" dxfId="8065" priority="152">
      <formula>AND(C$9&gt;=14/24,C$9&lt;20/24)</formula>
    </cfRule>
    <cfRule type="expression" dxfId="8064" priority="153">
      <formula>AND(C$9&gt;=8/24,C$9&lt;14/24)</formula>
    </cfRule>
    <cfRule type="expression" dxfId="8063" priority="154">
      <formula>C$9&lt;8/24</formula>
    </cfRule>
  </conditionalFormatting>
  <conditionalFormatting sqref="B99:B105 B11:C11 B78:AF78 B87:AF87">
    <cfRule type="expression" dxfId="8062" priority="132">
      <formula>B$9&gt;=20/24</formula>
    </cfRule>
    <cfRule type="expression" dxfId="8061" priority="133">
      <formula>AND(B$9&gt;=14/24,B$9&lt;20/24)</formula>
    </cfRule>
    <cfRule type="expression" dxfId="8060" priority="134">
      <formula>AND(B$9&gt;=8/24,B$9&lt;14/24)</formula>
    </cfRule>
    <cfRule type="expression" dxfId="8059" priority="135">
      <formula>B$9&lt;8/24</formula>
    </cfRule>
  </conditionalFormatting>
  <conditionalFormatting sqref="B37">
    <cfRule type="expression" dxfId="8058" priority="128">
      <formula>B$9&gt;=20/24</formula>
    </cfRule>
    <cfRule type="expression" dxfId="8057" priority="129">
      <formula>AND(B$9&gt;=14/24,B$9&lt;20/24)</formula>
    </cfRule>
    <cfRule type="expression" dxfId="8056" priority="130">
      <formula>AND(B$9&gt;=8/24,B$9&lt;14/24)</formula>
    </cfRule>
    <cfRule type="expression" dxfId="8055" priority="131">
      <formula>B$9&lt;8/24</formula>
    </cfRule>
  </conditionalFormatting>
  <conditionalFormatting sqref="B37 B11:C11">
    <cfRule type="expression" dxfId="8054" priority="127">
      <formula>B11&gt;$AG11</formula>
    </cfRule>
  </conditionalFormatting>
  <conditionalFormatting sqref="B89:C89">
    <cfRule type="expression" dxfId="8053" priority="123">
      <formula>B$9&gt;=20/24</formula>
    </cfRule>
    <cfRule type="expression" dxfId="8052" priority="124">
      <formula>AND(B$9&gt;=14/24,B$9&lt;20/24)</formula>
    </cfRule>
    <cfRule type="expression" dxfId="8051" priority="125">
      <formula>AND(B$9&gt;=8/24,B$9&lt;14/24)</formula>
    </cfRule>
    <cfRule type="expression" dxfId="8050" priority="126">
      <formula>B$9&lt;8/24</formula>
    </cfRule>
  </conditionalFormatting>
  <conditionalFormatting sqref="B61 B44:F45 B36:L36">
    <cfRule type="expression" dxfId="8049" priority="119">
      <formula>B$9&gt;=20/24</formula>
    </cfRule>
    <cfRule type="expression" dxfId="8048" priority="120">
      <formula>AND(B$9&gt;=14/24,B$9&lt;20/24)</formula>
    </cfRule>
    <cfRule type="expression" dxfId="8047" priority="121">
      <formula>AND(B$9&gt;=8/24,B$9&lt;14/24)</formula>
    </cfRule>
    <cfRule type="expression" dxfId="8046" priority="122">
      <formula>B$9&lt;8/24</formula>
    </cfRule>
  </conditionalFormatting>
  <conditionalFormatting sqref="B43:F43">
    <cfRule type="expression" dxfId="8045" priority="115">
      <formula>B$9&gt;=20/24</formula>
    </cfRule>
    <cfRule type="expression" dxfId="8044" priority="116">
      <formula>AND(B$9&gt;=14/24,B$9&lt;20/24)</formula>
    </cfRule>
    <cfRule type="expression" dxfId="8043" priority="117">
      <formula>AND(B$9&gt;=8/24,B$9&lt;14/24)</formula>
    </cfRule>
    <cfRule type="expression" dxfId="8042" priority="118">
      <formula>B$9&lt;8/24</formula>
    </cfRule>
  </conditionalFormatting>
  <conditionalFormatting sqref="B43:F45 B36:L36">
    <cfRule type="expression" dxfId="8041" priority="114">
      <formula>B36&gt;$AG36</formula>
    </cfRule>
  </conditionalFormatting>
  <conditionalFormatting sqref="B57:B60 B62:B71 B73:B77 B86 B12:C14 B16:C16 B28:C30 B18:C22 B24:C26 B90:C96 C57:I59 D30:L30 B32:L32 B79:AF79 C60:AG60 C77:AG77 B88:AF88">
    <cfRule type="expression" dxfId="8040" priority="110">
      <formula>B$9&gt;=20/24</formula>
    </cfRule>
    <cfRule type="expression" dxfId="8039" priority="111">
      <formula>AND(B$9&gt;=14/24,B$9&lt;20/24)</formula>
    </cfRule>
    <cfRule type="expression" dxfId="8038" priority="112">
      <formula>AND(B$9&gt;=8/24,B$9&lt;14/24)</formula>
    </cfRule>
    <cfRule type="expression" dxfId="8037" priority="113">
      <formula>B$9&lt;8/24</formula>
    </cfRule>
  </conditionalFormatting>
  <conditionalFormatting sqref="B33:L33">
    <cfRule type="expression" dxfId="8036" priority="106">
      <formula>B$9&gt;=20/24</formula>
    </cfRule>
    <cfRule type="expression" dxfId="8035" priority="107">
      <formula>AND(B$9&gt;=14/24,B$9&lt;20/24)</formula>
    </cfRule>
    <cfRule type="expression" dxfId="8034" priority="108">
      <formula>AND(B$9&gt;=8/24,B$9&lt;14/24)</formula>
    </cfRule>
    <cfRule type="expression" dxfId="8033" priority="109">
      <formula>B$9&lt;8/24</formula>
    </cfRule>
  </conditionalFormatting>
  <conditionalFormatting sqref="B55:B60 B18:C22 B24:C30 C57:I59 D30:L30 B32:L33 B46:L47 C56:AG56 C60:AG60 B38:AG38">
    <cfRule type="expression" dxfId="8032" priority="105">
      <formula>B18&gt;$AG18</formula>
    </cfRule>
  </conditionalFormatting>
  <conditionalFormatting sqref="B35:L35">
    <cfRule type="expression" dxfId="8031" priority="101">
      <formula>B$9&gt;=20/24</formula>
    </cfRule>
    <cfRule type="expression" dxfId="8030" priority="102">
      <formula>AND(B$9&gt;=14/24,B$9&lt;20/24)</formula>
    </cfRule>
    <cfRule type="expression" dxfId="8029" priority="103">
      <formula>AND(B$9&gt;=8/24,B$9&lt;14/24)</formula>
    </cfRule>
    <cfRule type="expression" dxfId="8028" priority="104">
      <formula>B$9&lt;8/24</formula>
    </cfRule>
  </conditionalFormatting>
  <conditionalFormatting sqref="B15:C15">
    <cfRule type="expression" dxfId="8027" priority="97">
      <formula>B$9&gt;=20/24</formula>
    </cfRule>
    <cfRule type="expression" dxfId="8026" priority="98">
      <formula>AND(B$9&gt;=14/24,B$9&lt;20/24)</formula>
    </cfRule>
    <cfRule type="expression" dxfId="8025" priority="99">
      <formula>AND(B$9&gt;=8/24,B$9&lt;14/24)</formula>
    </cfRule>
    <cfRule type="expression" dxfId="8024" priority="100">
      <formula>B$9&lt;8/24</formula>
    </cfRule>
  </conditionalFormatting>
  <conditionalFormatting sqref="B34:L34">
    <cfRule type="expression" dxfId="8023" priority="93">
      <formula>B$9&gt;=20/24</formula>
    </cfRule>
    <cfRule type="expression" dxfId="8022" priority="94">
      <formula>AND(B$9&gt;=14/24,B$9&lt;20/24)</formula>
    </cfRule>
    <cfRule type="expression" dxfId="8021" priority="95">
      <formula>AND(B$9&gt;=8/24,B$9&lt;14/24)</formula>
    </cfRule>
    <cfRule type="expression" dxfId="8020" priority="96">
      <formula>B$9&lt;8/24</formula>
    </cfRule>
  </conditionalFormatting>
  <conditionalFormatting sqref="B34:L34">
    <cfRule type="expression" dxfId="8019" priority="92">
      <formula>B34&gt;$AG34</formula>
    </cfRule>
  </conditionalFormatting>
  <conditionalFormatting sqref="B48:L54">
    <cfRule type="expression" dxfId="8018" priority="88">
      <formula>B$9&gt;=20/24</formula>
    </cfRule>
    <cfRule type="expression" dxfId="8017" priority="89">
      <formula>AND(B$9&gt;=14/24,B$9&lt;20/24)</formula>
    </cfRule>
    <cfRule type="expression" dxfId="8016" priority="90">
      <formula>AND(B$9&gt;=8/24,B$9&lt;14/24)</formula>
    </cfRule>
    <cfRule type="expression" dxfId="8015" priority="91">
      <formula>B$9&lt;8/24</formula>
    </cfRule>
  </conditionalFormatting>
  <conditionalFormatting sqref="B48:L54">
    <cfRule type="expression" dxfId="8014" priority="87">
      <formula>B48&gt;$AG48</formula>
    </cfRule>
  </conditionalFormatting>
  <conditionalFormatting sqref="B27:C27">
    <cfRule type="expression" dxfId="8013" priority="83">
      <formula>B$9&gt;=20/24</formula>
    </cfRule>
    <cfRule type="expression" dxfId="8012" priority="84">
      <formula>AND(B$9&gt;=14/24,B$9&lt;20/24)</formula>
    </cfRule>
    <cfRule type="expression" dxfId="8011" priority="85">
      <formula>AND(B$9&gt;=8/24,B$9&lt;14/24)</formula>
    </cfRule>
    <cfRule type="expression" dxfId="8010" priority="86">
      <formula>B$9&lt;8/24</formula>
    </cfRule>
  </conditionalFormatting>
  <conditionalFormatting sqref="B17:C17 B23:C23">
    <cfRule type="expression" dxfId="8009" priority="79">
      <formula>B$9&gt;=20/24</formula>
    </cfRule>
    <cfRule type="expression" dxfId="8008" priority="80">
      <formula>AND(B$9&gt;=14/24,B$9&lt;20/24)</formula>
    </cfRule>
    <cfRule type="expression" dxfId="8007" priority="81">
      <formula>AND(B$9&gt;=8/24,B$9&lt;14/24)</formula>
    </cfRule>
    <cfRule type="expression" dxfId="8006" priority="82">
      <formula>B$9&lt;8/24</formula>
    </cfRule>
  </conditionalFormatting>
  <conditionalFormatting sqref="B17:C17 B23:C23">
    <cfRule type="expression" dxfId="8005" priority="78">
      <formula>B17&gt;$AG17</formula>
    </cfRule>
  </conditionalFormatting>
  <conditionalFormatting sqref="A34">
    <cfRule type="expression" dxfId="8004" priority="77">
      <formula>$AH34=0</formula>
    </cfRule>
  </conditionalFormatting>
  <conditionalFormatting sqref="B72:AF72">
    <cfRule type="expression" dxfId="8003" priority="73">
      <formula>B$9&gt;=20/24</formula>
    </cfRule>
    <cfRule type="expression" dxfId="8002" priority="74">
      <formula>AND(B$9&gt;=14/24,B$9&lt;20/24)</formula>
    </cfRule>
    <cfRule type="expression" dxfId="8001" priority="75">
      <formula>AND(B$9&gt;=8/24,B$9&lt;14/24)</formula>
    </cfRule>
    <cfRule type="expression" dxfId="8000" priority="76">
      <formula>B$9&lt;8/24</formula>
    </cfRule>
  </conditionalFormatting>
  <conditionalFormatting sqref="B81:AF85">
    <cfRule type="expression" dxfId="7999" priority="69">
      <formula>B$9&gt;=20/24</formula>
    </cfRule>
    <cfRule type="expression" dxfId="7998" priority="70">
      <formula>AND(B$9&gt;=14/24,B$9&lt;20/24)</formula>
    </cfRule>
    <cfRule type="expression" dxfId="7997" priority="71">
      <formula>AND(B$9&gt;=8/24,B$9&lt;14/24)</formula>
    </cfRule>
    <cfRule type="expression" dxfId="7996" priority="72">
      <formula>B$9&lt;8/24</formula>
    </cfRule>
  </conditionalFormatting>
  <conditionalFormatting sqref="AL35 AL7:AL30 AL32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7995" priority="65">
      <formula>M$9&gt;=20/24</formula>
    </cfRule>
    <cfRule type="expression" dxfId="7994" priority="66">
      <formula>AND(M$9&gt;=14/24,M$9&lt;20/24)</formula>
    </cfRule>
    <cfRule type="expression" dxfId="7993" priority="67">
      <formula>AND(M$9&gt;=8/24,M$9&lt;14/24)</formula>
    </cfRule>
    <cfRule type="expression" dxfId="7992" priority="68">
      <formula>M$9&lt;8/24</formula>
    </cfRule>
  </conditionalFormatting>
  <conditionalFormatting sqref="M39:AF41">
    <cfRule type="expression" dxfId="7991" priority="64">
      <formula>M39&gt;$AG39</formula>
    </cfRule>
  </conditionalFormatting>
  <conditionalFormatting sqref="B39:B42 C39:L41 C42:AG42">
    <cfRule type="expression" dxfId="7990" priority="60">
      <formula>B$9&gt;=20/24</formula>
    </cfRule>
    <cfRule type="expression" dxfId="7989" priority="61">
      <formula>AND(B$9&gt;=14/24,B$9&lt;20/24)</formula>
    </cfRule>
    <cfRule type="expression" dxfId="7988" priority="62">
      <formula>AND(B$9&gt;=8/24,B$9&lt;14/24)</formula>
    </cfRule>
    <cfRule type="expression" dxfId="7987" priority="63">
      <formula>B$9&lt;8/24</formula>
    </cfRule>
  </conditionalFormatting>
  <conditionalFormatting sqref="B39:B42 C39:L41 C42:AG42">
    <cfRule type="expression" dxfId="7986" priority="59">
      <formula>B39&gt;$AG39</formula>
    </cfRule>
  </conditionalFormatting>
  <conditionalFormatting sqref="C97:AF97">
    <cfRule type="expression" dxfId="7985" priority="55">
      <formula>C$9&gt;=20/24</formula>
    </cfRule>
    <cfRule type="expression" dxfId="7984" priority="56">
      <formula>AND(C$9&gt;=14/24,C$9&lt;20/24)</formula>
    </cfRule>
    <cfRule type="expression" dxfId="7983" priority="57">
      <formula>AND(C$9&gt;=8/24,C$9&lt;14/24)</formula>
    </cfRule>
    <cfRule type="expression" dxfId="7982" priority="58">
      <formula>C$9&lt;8/24</formula>
    </cfRule>
  </conditionalFormatting>
  <conditionalFormatting sqref="B97">
    <cfRule type="expression" dxfId="7981" priority="51">
      <formula>B$9&gt;=20/24</formula>
    </cfRule>
    <cfRule type="expression" dxfId="7980" priority="52">
      <formula>AND(B$9&gt;=14/24,B$9&lt;20/24)</formula>
    </cfRule>
    <cfRule type="expression" dxfId="7979" priority="53">
      <formula>AND(B$9&gt;=8/24,B$9&lt;14/24)</formula>
    </cfRule>
    <cfRule type="expression" dxfId="7978" priority="54">
      <formula>B$9&lt;8/24</formula>
    </cfRule>
  </conditionalFormatting>
  <conditionalFormatting sqref="AL31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7977" priority="44">
      <formula>$AH31=0</formula>
    </cfRule>
  </conditionalFormatting>
  <conditionalFormatting sqref="A80">
    <cfRule type="expression" dxfId="7976" priority="42">
      <formula>$AH80=0</formula>
    </cfRule>
  </conditionalFormatting>
  <conditionalFormatting sqref="A77">
    <cfRule type="expression" dxfId="7975" priority="43">
      <formula>$AH77=0</formula>
    </cfRule>
  </conditionalFormatting>
  <conditionalFormatting sqref="A106">
    <cfRule type="expression" dxfId="7974" priority="33">
      <formula>$AH106=0</formula>
    </cfRule>
  </conditionalFormatting>
  <conditionalFormatting sqref="U43:Y54">
    <cfRule type="expression" dxfId="7973" priority="29">
      <formula>U$9&gt;=20/24</formula>
    </cfRule>
    <cfRule type="expression" dxfId="7972" priority="30">
      <formula>AND(U$9&gt;=14/24,U$9&lt;20/24)</formula>
    </cfRule>
    <cfRule type="expression" dxfId="7971" priority="31">
      <formula>AND(U$9&gt;=8/24,U$9&lt;14/24)</formula>
    </cfRule>
    <cfRule type="expression" dxfId="7970" priority="32">
      <formula>U$9&lt;8/24</formula>
    </cfRule>
  </conditionalFormatting>
  <conditionalFormatting sqref="U43:Y54">
    <cfRule type="expression" dxfId="7969" priority="28">
      <formula>U43&gt;$AG43</formula>
    </cfRule>
  </conditionalFormatting>
  <conditionalFormatting sqref="U61:Y61">
    <cfRule type="expression" dxfId="7968" priority="24">
      <formula>U$9&gt;=20/24</formula>
    </cfRule>
    <cfRule type="expression" dxfId="7967" priority="25">
      <formula>AND(U$9&gt;=14/24,U$9&lt;20/24)</formula>
    </cfRule>
    <cfRule type="expression" dxfId="7966" priority="26">
      <formula>AND(U$9&gt;=8/24,U$9&lt;14/24)</formula>
    </cfRule>
    <cfRule type="expression" dxfId="7965" priority="27">
      <formula>U$9&lt;8/24</formula>
    </cfRule>
  </conditionalFormatting>
  <conditionalFormatting sqref="U62:Y71">
    <cfRule type="expression" dxfId="7964" priority="20">
      <formula>U$9&gt;=20/24</formula>
    </cfRule>
    <cfRule type="expression" dxfId="7963" priority="21">
      <formula>AND(U$9&gt;=14/24,U$9&lt;20/24)</formula>
    </cfRule>
    <cfRule type="expression" dxfId="7962" priority="22">
      <formula>AND(U$9&gt;=8/24,U$9&lt;14/24)</formula>
    </cfRule>
    <cfRule type="expression" dxfId="7961" priority="23">
      <formula>U$9&lt;8/24</formula>
    </cfRule>
  </conditionalFormatting>
  <conditionalFormatting sqref="T11">
    <cfRule type="expression" dxfId="7960" priority="19">
      <formula>T11&gt;$AG11</formula>
    </cfRule>
  </conditionalFormatting>
  <conditionalFormatting sqref="T11">
    <cfRule type="expression" dxfId="7959" priority="15">
      <formula>T$9&gt;=20/24</formula>
    </cfRule>
    <cfRule type="expression" dxfId="7958" priority="16">
      <formula>AND(T$9&gt;=14/24,T$9&lt;20/24)</formula>
    </cfRule>
    <cfRule type="expression" dxfId="7957" priority="17">
      <formula>AND(T$9&gt;=8/24,T$9&lt;14/24)</formula>
    </cfRule>
    <cfRule type="expression" dxfId="7956" priority="18">
      <formula>T$9&lt;8/24</formula>
    </cfRule>
  </conditionalFormatting>
  <conditionalFormatting sqref="T11">
    <cfRule type="expression" dxfId="7955" priority="14">
      <formula>T11&gt;$AG11</formula>
    </cfRule>
  </conditionalFormatting>
  <conditionalFormatting sqref="AA43:AD54">
    <cfRule type="expression" dxfId="7954" priority="10">
      <formula>AA$9&gt;=20/24</formula>
    </cfRule>
    <cfRule type="expression" dxfId="7953" priority="11">
      <formula>AND(AA$9&gt;=14/24,AA$9&lt;20/24)</formula>
    </cfRule>
    <cfRule type="expression" dxfId="7952" priority="12">
      <formula>AND(AA$9&gt;=8/24,AA$9&lt;14/24)</formula>
    </cfRule>
    <cfRule type="expression" dxfId="7951" priority="13">
      <formula>AA$9&lt;8/24</formula>
    </cfRule>
  </conditionalFormatting>
  <conditionalFormatting sqref="AA43:AD54">
    <cfRule type="expression" dxfId="7950" priority="9">
      <formula>AA43&gt;$AG43</formula>
    </cfRule>
  </conditionalFormatting>
  <conditionalFormatting sqref="AA61">
    <cfRule type="expression" dxfId="7949" priority="5">
      <formula>AA$9&gt;=20/24</formula>
    </cfRule>
    <cfRule type="expression" dxfId="7948" priority="6">
      <formula>AND(AA$9&gt;=14/24,AA$9&lt;20/24)</formula>
    </cfRule>
    <cfRule type="expression" dxfId="7947" priority="7">
      <formula>AND(AA$9&gt;=8/24,AA$9&lt;14/24)</formula>
    </cfRule>
    <cfRule type="expression" dxfId="7946" priority="8">
      <formula>AA$9&lt;8/24</formula>
    </cfRule>
  </conditionalFormatting>
  <conditionalFormatting sqref="AA62:AA71">
    <cfRule type="expression" dxfId="7945" priority="1">
      <formula>AA$9&gt;=20/24</formula>
    </cfRule>
    <cfRule type="expression" dxfId="7944" priority="2">
      <formula>AND(AA$9&gt;=14/24,AA$9&lt;20/24)</formula>
    </cfRule>
    <cfRule type="expression" dxfId="7943" priority="3">
      <formula>AND(AA$9&gt;=8/24,AA$9&lt;14/24)</formula>
    </cfRule>
    <cfRule type="expression" dxfId="7942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645C4B03-C236-45B7-849C-BC8908EDA43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D7F19C7C-C36C-477B-8502-84A012F5180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8" id="{6A32D390-D699-4B10-878E-4ED8F95F328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9" id="{7DC76B59-0D41-4C50-A5A7-350EA331A23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B31:L31 B80:AF80</xm:sqref>
        </x14:conditionalFormatting>
        <x14:conditionalFormatting xmlns:xm="http://schemas.microsoft.com/office/excel/2006/main">
          <x14:cfRule type="expression" priority="45" id="{954EFA39-C07B-42DB-9017-B7407D79C20F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B31:L31</xm:sqref>
        </x14:conditionalFormatting>
        <x14:conditionalFormatting xmlns:xm="http://schemas.microsoft.com/office/excel/2006/main">
          <x14:cfRule type="expression" priority="38" id="{0B08D53C-1FB7-438E-9CEA-8CD54DED4E7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" id="{CB9AC597-EBFA-42E5-93AA-909192B3CA7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" id="{E45AD64E-2B92-46BA-AA0D-F813A4144C8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1" id="{EEE4DCAC-C23E-4AF3-8582-A0694156F39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34" id="{90640C97-190F-495F-B050-E0809C6E6C5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5" id="{A20D803F-6E6A-4CCF-9114-4E4F38BC357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00DD1792-401F-4391-8EF9-CF284F409C8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F25E30E3-97A3-46A2-81D2-7EEC62F89EE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J493"/>
  <sheetViews>
    <sheetView zoomScale="90" zoomScaleNormal="90" workbookViewId="0">
      <pane xSplit="1" ySplit="10" topLeftCell="B89" activePane="bottomRight" state="frozen"/>
      <selection activeCell="AF88" sqref="AF88"/>
      <selection pane="topRight" activeCell="AF88" sqref="AF88"/>
      <selection pane="bottomLeft" activeCell="AF88" sqref="AF88"/>
      <selection pane="bottomRight" activeCell="B106" sqref="B106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2079/02/3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80.2</v>
      </c>
      <c r="C5" s="205">
        <f t="shared" si="0"/>
        <v>68.8</v>
      </c>
      <c r="D5" s="205">
        <f t="shared" si="0"/>
        <v>70.2</v>
      </c>
      <c r="E5" s="205">
        <f t="shared" si="0"/>
        <v>101.3</v>
      </c>
      <c r="F5" s="205">
        <f t="shared" si="0"/>
        <v>89.2</v>
      </c>
      <c r="G5" s="205">
        <f t="shared" si="0"/>
        <v>97.199999999999989</v>
      </c>
      <c r="H5" s="205">
        <f t="shared" si="0"/>
        <v>82.9</v>
      </c>
      <c r="I5" s="205">
        <f t="shared" si="0"/>
        <v>58.3</v>
      </c>
      <c r="J5" s="205">
        <f t="shared" si="0"/>
        <v>48.6</v>
      </c>
      <c r="K5" s="205">
        <f t="shared" si="0"/>
        <v>51.9</v>
      </c>
      <c r="L5" s="205">
        <f t="shared" si="0"/>
        <v>55.3</v>
      </c>
      <c r="M5" s="205">
        <f t="shared" si="0"/>
        <v>33.9</v>
      </c>
      <c r="N5" s="205">
        <f t="shared" si="0"/>
        <v>17</v>
      </c>
      <c r="O5" s="205">
        <f t="shared" si="0"/>
        <v>88.2</v>
      </c>
      <c r="P5" s="205">
        <f t="shared" si="0"/>
        <v>93.6</v>
      </c>
      <c r="Q5" s="205">
        <f t="shared" si="0"/>
        <v>62.6</v>
      </c>
      <c r="R5" s="205">
        <f t="shared" si="0"/>
        <v>45</v>
      </c>
      <c r="S5" s="205">
        <f t="shared" si="0"/>
        <v>46.5</v>
      </c>
      <c r="T5" s="205">
        <f t="shared" si="0"/>
        <v>46.5</v>
      </c>
      <c r="U5" s="205">
        <f t="shared" si="0"/>
        <v>16.5</v>
      </c>
      <c r="V5" s="205">
        <f t="shared" si="0"/>
        <v>14.8</v>
      </c>
      <c r="W5" s="205">
        <f t="shared" si="0"/>
        <v>14.8</v>
      </c>
      <c r="X5" s="205">
        <f t="shared" si="0"/>
        <v>51.5</v>
      </c>
      <c r="Y5" s="205">
        <f t="shared" si="0"/>
        <v>50.7</v>
      </c>
      <c r="Z5" s="205">
        <f t="shared" si="0"/>
        <v>65.5</v>
      </c>
      <c r="AA5" s="205">
        <f t="shared" si="0"/>
        <v>60.6</v>
      </c>
      <c r="AB5" s="205">
        <f t="shared" si="0"/>
        <v>69.099999999999994</v>
      </c>
      <c r="AC5" s="205">
        <f t="shared" si="0"/>
        <v>61.3</v>
      </c>
      <c r="AD5" s="205">
        <f t="shared" si="0"/>
        <v>69</v>
      </c>
      <c r="AE5" s="205">
        <f t="shared" si="0"/>
        <v>30.3</v>
      </c>
      <c r="AF5" s="205">
        <f>B72</f>
        <v>81.400000000000006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1891MW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Load=1766</v>
      </c>
      <c r="B7" s="210">
        <f>B79</f>
        <v>1933.4400000000003</v>
      </c>
      <c r="C7" s="210">
        <f t="shared" ref="C7:AF7" si="1">C79</f>
        <v>1819.24</v>
      </c>
      <c r="D7" s="210">
        <f t="shared" si="1"/>
        <v>1829.74</v>
      </c>
      <c r="E7" s="210">
        <f t="shared" si="1"/>
        <v>1834.34</v>
      </c>
      <c r="F7" s="210">
        <f t="shared" si="1"/>
        <v>1806.7399999999998</v>
      </c>
      <c r="G7" s="210">
        <f t="shared" si="1"/>
        <v>1816.24</v>
      </c>
      <c r="H7" s="210">
        <f t="shared" si="1"/>
        <v>1830.54</v>
      </c>
      <c r="I7" s="210">
        <f t="shared" si="1"/>
        <v>1822.3400000000001</v>
      </c>
      <c r="J7" s="210">
        <f t="shared" si="1"/>
        <v>1815.84</v>
      </c>
      <c r="K7" s="210">
        <f t="shared" si="1"/>
        <v>1874.4399999999998</v>
      </c>
      <c r="L7" s="210">
        <f t="shared" si="1"/>
        <v>1873.64</v>
      </c>
      <c r="M7" s="210">
        <f t="shared" si="1"/>
        <v>1891.2399999999998</v>
      </c>
      <c r="N7" s="210">
        <f t="shared" si="1"/>
        <v>1885.2400000000002</v>
      </c>
      <c r="O7" s="210">
        <f t="shared" si="1"/>
        <v>1823.44</v>
      </c>
      <c r="P7" s="210">
        <f t="shared" si="1"/>
        <v>1936.2400000000002</v>
      </c>
      <c r="Q7" s="210">
        <f t="shared" si="1"/>
        <v>1916.04</v>
      </c>
      <c r="R7" s="210">
        <f t="shared" si="1"/>
        <v>1885.3400000000001</v>
      </c>
      <c r="S7" s="210">
        <f t="shared" si="1"/>
        <v>1852.34</v>
      </c>
      <c r="T7" s="210">
        <f t="shared" si="1"/>
        <v>1846.74</v>
      </c>
      <c r="U7" s="210">
        <f t="shared" si="1"/>
        <v>1812.74</v>
      </c>
      <c r="V7" s="210">
        <f t="shared" si="1"/>
        <v>1767.54</v>
      </c>
      <c r="W7" s="210">
        <f t="shared" si="1"/>
        <v>1766.0400000000002</v>
      </c>
      <c r="X7" s="210">
        <f t="shared" si="1"/>
        <v>1766.0400000000002</v>
      </c>
      <c r="Y7" s="210">
        <f t="shared" si="1"/>
        <v>1802.7400000000002</v>
      </c>
      <c r="Z7" s="210">
        <f t="shared" si="1"/>
        <v>1840.74</v>
      </c>
      <c r="AA7" s="210">
        <f t="shared" si="1"/>
        <v>1867.04</v>
      </c>
      <c r="AB7" s="210">
        <f t="shared" si="1"/>
        <v>1857.7399999999998</v>
      </c>
      <c r="AC7" s="210">
        <f t="shared" si="1"/>
        <v>1859.2399999999998</v>
      </c>
      <c r="AD7" s="210">
        <f t="shared" si="1"/>
        <v>1851.4399999999998</v>
      </c>
      <c r="AE7" s="210">
        <f t="shared" si="1"/>
        <v>1807.04</v>
      </c>
      <c r="AF7" s="210">
        <f t="shared" si="1"/>
        <v>1843.34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4">
        <v>53.9</v>
      </c>
      <c r="C11" s="224">
        <v>54</v>
      </c>
      <c r="D11" s="224">
        <v>54</v>
      </c>
      <c r="E11" s="224">
        <v>54</v>
      </c>
      <c r="F11" s="224">
        <v>54</v>
      </c>
      <c r="G11" s="224">
        <v>54</v>
      </c>
      <c r="H11" s="224">
        <v>54</v>
      </c>
      <c r="I11" s="224">
        <v>54</v>
      </c>
      <c r="J11" s="224">
        <v>54</v>
      </c>
      <c r="K11" s="224">
        <v>54</v>
      </c>
      <c r="L11" s="224">
        <v>54</v>
      </c>
      <c r="M11" s="221">
        <v>53.9</v>
      </c>
      <c r="N11" s="221">
        <v>53.9</v>
      </c>
      <c r="O11" s="221">
        <v>53.9</v>
      </c>
      <c r="P11" s="221">
        <v>53.9</v>
      </c>
      <c r="Q11" s="221">
        <v>53.9</v>
      </c>
      <c r="R11" s="221">
        <v>53.8</v>
      </c>
      <c r="S11" s="221">
        <v>53.7</v>
      </c>
      <c r="T11" s="221">
        <v>53.7</v>
      </c>
      <c r="U11" s="221">
        <v>53.7</v>
      </c>
      <c r="V11" s="221">
        <v>53.7</v>
      </c>
      <c r="W11" s="221">
        <v>53.7</v>
      </c>
      <c r="X11" s="221">
        <v>53.7</v>
      </c>
      <c r="Y11" s="221">
        <v>53.7</v>
      </c>
      <c r="Z11" s="221">
        <v>53.7</v>
      </c>
      <c r="AA11" s="221">
        <v>53.7</v>
      </c>
      <c r="AB11" s="224">
        <v>53.7</v>
      </c>
      <c r="AC11" s="224">
        <v>53.7</v>
      </c>
      <c r="AD11" s="224">
        <v>53.7</v>
      </c>
      <c r="AE11" s="224">
        <v>53.7</v>
      </c>
      <c r="AF11" s="224">
        <v>53.7</v>
      </c>
      <c r="AG11" s="225">
        <v>52.4</v>
      </c>
      <c r="AH11" s="226">
        <f>MAX(B11:AF11)</f>
        <v>54</v>
      </c>
      <c r="AI11" s="227">
        <f>MIN(B11:AF11)</f>
        <v>53.7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50.3</v>
      </c>
      <c r="C12" s="221">
        <v>50.3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50.5</v>
      </c>
      <c r="N12" s="221">
        <v>50.3</v>
      </c>
      <c r="O12" s="221">
        <v>50.3</v>
      </c>
      <c r="P12" s="221">
        <v>50.3</v>
      </c>
      <c r="Q12" s="221">
        <v>50.3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50.5</v>
      </c>
      <c r="AB12" s="221">
        <v>50.5</v>
      </c>
      <c r="AC12" s="221">
        <v>50.5</v>
      </c>
      <c r="AD12" s="221">
        <v>50.5</v>
      </c>
      <c r="AE12" s="221">
        <v>50.5</v>
      </c>
      <c r="AF12" s="221">
        <v>50.5</v>
      </c>
      <c r="AG12" s="229">
        <v>50</v>
      </c>
      <c r="AH12" s="226">
        <f t="shared" ref="AH12:AH79" si="2">MAX(B12:AF12)</f>
        <v>50.5</v>
      </c>
      <c r="AI12" s="227">
        <f t="shared" ref="AI12:AI79" si="3">MIN(B12:AF12)</f>
        <v>50.3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46.1</v>
      </c>
      <c r="D13" s="221">
        <v>24.3</v>
      </c>
      <c r="E13" s="221">
        <v>24.3</v>
      </c>
      <c r="F13" s="221">
        <v>45.6</v>
      </c>
      <c r="G13" s="221">
        <v>45.6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46.1</v>
      </c>
      <c r="AI13" s="227">
        <f t="shared" si="3"/>
        <v>24.3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0</v>
      </c>
      <c r="D14" s="221">
        <v>0</v>
      </c>
      <c r="E14" s="221">
        <v>30</v>
      </c>
      <c r="F14" s="221">
        <v>38</v>
      </c>
      <c r="G14" s="221">
        <v>36</v>
      </c>
      <c r="H14" s="221">
        <v>36</v>
      </c>
      <c r="I14" s="221">
        <v>36</v>
      </c>
      <c r="J14" s="221">
        <v>36</v>
      </c>
      <c r="K14" s="221">
        <v>36</v>
      </c>
      <c r="L14" s="221">
        <v>36</v>
      </c>
      <c r="M14" s="221">
        <v>36</v>
      </c>
      <c r="N14" s="221">
        <v>36</v>
      </c>
      <c r="O14" s="221">
        <v>36</v>
      </c>
      <c r="P14" s="221">
        <v>36</v>
      </c>
      <c r="Q14" s="221">
        <v>36</v>
      </c>
      <c r="R14" s="221">
        <v>36</v>
      </c>
      <c r="S14" s="221">
        <v>36</v>
      </c>
      <c r="T14" s="221">
        <v>36</v>
      </c>
      <c r="U14" s="221">
        <v>26</v>
      </c>
      <c r="V14" s="221">
        <v>26</v>
      </c>
      <c r="W14" s="221">
        <v>26</v>
      </c>
      <c r="X14" s="221">
        <v>26</v>
      </c>
      <c r="Y14" s="221">
        <v>26</v>
      </c>
      <c r="Z14" s="221">
        <v>35</v>
      </c>
      <c r="AA14" s="221">
        <v>26</v>
      </c>
      <c r="AB14" s="221">
        <v>26</v>
      </c>
      <c r="AC14" s="221">
        <v>26</v>
      </c>
      <c r="AD14" s="221">
        <v>26</v>
      </c>
      <c r="AE14" s="221">
        <v>0</v>
      </c>
      <c r="AF14" s="221">
        <v>35</v>
      </c>
      <c r="AG14" s="229">
        <v>42</v>
      </c>
      <c r="AH14" s="226">
        <f t="shared" si="2"/>
        <v>38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0</v>
      </c>
      <c r="D15" s="221">
        <v>30</v>
      </c>
      <c r="E15" s="221">
        <v>30</v>
      </c>
      <c r="F15" s="221">
        <v>30</v>
      </c>
      <c r="G15" s="221">
        <v>30</v>
      </c>
      <c r="H15" s="221">
        <v>30</v>
      </c>
      <c r="I15" s="221">
        <v>30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10</v>
      </c>
      <c r="V15" s="221">
        <v>20</v>
      </c>
      <c r="W15" s="221">
        <v>10.199999999999999</v>
      </c>
      <c r="X15" s="221">
        <v>10.199999999999999</v>
      </c>
      <c r="Y15" s="221">
        <v>10.199999999999999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26.3</v>
      </c>
      <c r="C16" s="221">
        <v>0</v>
      </c>
      <c r="D16" s="221">
        <v>26.2</v>
      </c>
      <c r="E16" s="221">
        <v>26.2</v>
      </c>
      <c r="F16" s="221">
        <v>26.2</v>
      </c>
      <c r="G16" s="221">
        <v>26.2</v>
      </c>
      <c r="H16" s="221">
        <v>26.2</v>
      </c>
      <c r="I16" s="221">
        <v>26.2</v>
      </c>
      <c r="J16" s="221">
        <v>26.2</v>
      </c>
      <c r="K16" s="221">
        <v>26.2</v>
      </c>
      <c r="L16" s="221">
        <v>26.2</v>
      </c>
      <c r="M16" s="221">
        <v>26.4</v>
      </c>
      <c r="N16" s="221">
        <v>26.4</v>
      </c>
      <c r="O16" s="221">
        <v>26.4</v>
      </c>
      <c r="P16" s="221">
        <v>26.4</v>
      </c>
      <c r="Q16" s="221">
        <v>26.4</v>
      </c>
      <c r="R16" s="221">
        <v>26.3</v>
      </c>
      <c r="S16" s="221">
        <v>26.3</v>
      </c>
      <c r="T16" s="221">
        <v>26.3</v>
      </c>
      <c r="U16" s="221">
        <v>26.3</v>
      </c>
      <c r="V16" s="221">
        <v>26.3</v>
      </c>
      <c r="W16" s="221">
        <v>26.3</v>
      </c>
      <c r="X16" s="221">
        <v>26.3</v>
      </c>
      <c r="Y16" s="221">
        <v>26.3</v>
      </c>
      <c r="Z16" s="221">
        <v>26.3</v>
      </c>
      <c r="AA16" s="221">
        <v>26.3</v>
      </c>
      <c r="AB16" s="221">
        <v>26.3</v>
      </c>
      <c r="AC16" s="221">
        <v>26.3</v>
      </c>
      <c r="AD16" s="221">
        <v>26.3</v>
      </c>
      <c r="AE16" s="221">
        <v>26.3</v>
      </c>
      <c r="AF16" s="221">
        <v>26.3</v>
      </c>
      <c r="AG16" s="229">
        <v>25</v>
      </c>
      <c r="AH16" s="226">
        <f t="shared" si="2"/>
        <v>26.4</v>
      </c>
      <c r="AI16" s="227">
        <f t="shared" si="3"/>
        <v>0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12.5</v>
      </c>
      <c r="D17" s="221">
        <v>12.5</v>
      </c>
      <c r="E17" s="221">
        <v>12.5</v>
      </c>
      <c r="F17" s="221">
        <v>12.5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12.5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</v>
      </c>
      <c r="C19" s="221">
        <v>33</v>
      </c>
      <c r="D19" s="221">
        <v>33</v>
      </c>
      <c r="E19" s="221">
        <v>33</v>
      </c>
      <c r="F19" s="221">
        <v>33</v>
      </c>
      <c r="G19" s="221">
        <v>33</v>
      </c>
      <c r="H19" s="221">
        <v>33</v>
      </c>
      <c r="I19" s="221">
        <v>33</v>
      </c>
      <c r="J19" s="221">
        <v>33</v>
      </c>
      <c r="K19" s="221">
        <v>33</v>
      </c>
      <c r="L19" s="221">
        <v>33</v>
      </c>
      <c r="M19" s="221">
        <v>33.299999999999997</v>
      </c>
      <c r="N19" s="221">
        <v>33.299999999999997</v>
      </c>
      <c r="O19" s="221">
        <v>33.299999999999997</v>
      </c>
      <c r="P19" s="221">
        <v>33.299999999999997</v>
      </c>
      <c r="Q19" s="221">
        <v>33.299999999999997</v>
      </c>
      <c r="R19" s="221">
        <v>33.299999999999997</v>
      </c>
      <c r="S19" s="221">
        <v>33.299999999999997</v>
      </c>
      <c r="T19" s="221">
        <v>26.2</v>
      </c>
      <c r="U19" s="221">
        <v>26.2</v>
      </c>
      <c r="V19" s="221">
        <v>26.2</v>
      </c>
      <c r="W19" s="221">
        <v>26.2</v>
      </c>
      <c r="X19" s="221">
        <v>26.2</v>
      </c>
      <c r="Y19" s="221">
        <v>26.2</v>
      </c>
      <c r="Z19" s="221">
        <v>26.2</v>
      </c>
      <c r="AA19" s="221">
        <v>26.2</v>
      </c>
      <c r="AB19" s="221">
        <v>33.299999999999997</v>
      </c>
      <c r="AC19" s="221">
        <v>33.299999999999997</v>
      </c>
      <c r="AD19" s="221">
        <v>33.299999999999997</v>
      </c>
      <c r="AE19" s="221">
        <v>33.299999999999997</v>
      </c>
      <c r="AF19" s="221">
        <v>33.299999999999997</v>
      </c>
      <c r="AG19" s="229">
        <v>24.2</v>
      </c>
      <c r="AH19" s="226">
        <f t="shared" si="2"/>
        <v>33.299999999999997</v>
      </c>
      <c r="AI19" s="227">
        <f t="shared" si="3"/>
        <v>26.2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24</v>
      </c>
      <c r="C20" s="221">
        <v>24</v>
      </c>
      <c r="D20" s="221">
        <v>24</v>
      </c>
      <c r="E20" s="221">
        <v>24</v>
      </c>
      <c r="F20" s="221">
        <v>24</v>
      </c>
      <c r="G20" s="221">
        <v>24</v>
      </c>
      <c r="H20" s="221">
        <v>24</v>
      </c>
      <c r="I20" s="221">
        <v>24</v>
      </c>
      <c r="J20" s="221">
        <v>24</v>
      </c>
      <c r="K20" s="221">
        <v>24</v>
      </c>
      <c r="L20" s="221">
        <v>24</v>
      </c>
      <c r="M20" s="221">
        <v>23.6</v>
      </c>
      <c r="N20" s="221">
        <v>23.6</v>
      </c>
      <c r="O20" s="221">
        <v>23.6</v>
      </c>
      <c r="P20" s="221">
        <v>23.6</v>
      </c>
      <c r="Q20" s="221">
        <v>23.6</v>
      </c>
      <c r="R20" s="221">
        <v>23.6</v>
      </c>
      <c r="S20" s="221">
        <v>23.6</v>
      </c>
      <c r="T20" s="221">
        <v>23.6</v>
      </c>
      <c r="U20" s="221">
        <v>23.6</v>
      </c>
      <c r="V20" s="221">
        <v>23.6</v>
      </c>
      <c r="W20" s="221">
        <v>23.6</v>
      </c>
      <c r="X20" s="221">
        <v>23.6</v>
      </c>
      <c r="Y20" s="221">
        <v>23.6</v>
      </c>
      <c r="Z20" s="221">
        <v>23.6</v>
      </c>
      <c r="AA20" s="221">
        <v>23.6</v>
      </c>
      <c r="AB20" s="221">
        <v>23.6</v>
      </c>
      <c r="AC20" s="221">
        <v>23.6</v>
      </c>
      <c r="AD20" s="221">
        <v>23.6</v>
      </c>
      <c r="AE20" s="221">
        <v>23.6</v>
      </c>
      <c r="AF20" s="221">
        <v>23.6</v>
      </c>
      <c r="AG20" s="229">
        <v>23.5</v>
      </c>
      <c r="AH20" s="226">
        <f t="shared" si="2"/>
        <v>24</v>
      </c>
      <c r="AI20" s="227">
        <f t="shared" si="3"/>
        <v>23.6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11</v>
      </c>
      <c r="C21" s="221">
        <v>11</v>
      </c>
      <c r="D21" s="221">
        <v>0</v>
      </c>
      <c r="E21" s="221">
        <v>0</v>
      </c>
      <c r="F21" s="221">
        <v>0</v>
      </c>
      <c r="G21" s="221">
        <v>0</v>
      </c>
      <c r="H21" s="221">
        <v>0</v>
      </c>
      <c r="I21" s="221">
        <v>0</v>
      </c>
      <c r="J21" s="221">
        <v>0</v>
      </c>
      <c r="K21" s="221">
        <v>0</v>
      </c>
      <c r="L21" s="221">
        <v>0</v>
      </c>
      <c r="M21" s="221">
        <v>0</v>
      </c>
      <c r="N21" s="221">
        <v>0</v>
      </c>
      <c r="O21" s="221">
        <v>0</v>
      </c>
      <c r="P21" s="221">
        <v>0</v>
      </c>
      <c r="Q21" s="221">
        <v>0</v>
      </c>
      <c r="R21" s="221">
        <v>0</v>
      </c>
      <c r="S21" s="221">
        <v>0</v>
      </c>
      <c r="T21" s="221">
        <v>0</v>
      </c>
      <c r="U21" s="221">
        <v>0</v>
      </c>
      <c r="V21" s="221">
        <v>0</v>
      </c>
      <c r="W21" s="221">
        <v>0</v>
      </c>
      <c r="X21" s="221">
        <v>0</v>
      </c>
      <c r="Y21" s="221">
        <v>0</v>
      </c>
      <c r="Z21" s="221">
        <v>0</v>
      </c>
      <c r="AA21" s="221">
        <v>0</v>
      </c>
      <c r="AB21" s="221">
        <v>0</v>
      </c>
      <c r="AC21" s="221">
        <v>0</v>
      </c>
      <c r="AD21" s="221">
        <v>0</v>
      </c>
      <c r="AE21" s="221">
        <v>11</v>
      </c>
      <c r="AF21" s="221">
        <v>11</v>
      </c>
      <c r="AG21" s="229">
        <v>22.2</v>
      </c>
      <c r="AH21" s="226">
        <f t="shared" si="2"/>
        <v>11</v>
      </c>
      <c r="AI21" s="227">
        <f t="shared" si="3"/>
        <v>0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18</v>
      </c>
      <c r="D24" s="221">
        <v>18</v>
      </c>
      <c r="E24" s="221">
        <v>15.9</v>
      </c>
      <c r="F24" s="221">
        <v>0</v>
      </c>
      <c r="G24" s="221">
        <v>21.9</v>
      </c>
      <c r="H24" s="221">
        <v>21.8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15</v>
      </c>
      <c r="C25" s="221">
        <v>0</v>
      </c>
      <c r="D25" s="221">
        <v>15</v>
      </c>
      <c r="E25" s="221">
        <v>12</v>
      </c>
      <c r="F25" s="221">
        <v>10</v>
      </c>
      <c r="G25" s="221">
        <v>10</v>
      </c>
      <c r="H25" s="221">
        <v>16</v>
      </c>
      <c r="I25" s="221">
        <v>12</v>
      </c>
      <c r="J25" s="221">
        <v>12</v>
      </c>
      <c r="K25" s="221">
        <v>12</v>
      </c>
      <c r="L25" s="221">
        <v>12</v>
      </c>
      <c r="M25" s="221">
        <v>16</v>
      </c>
      <c r="N25" s="221">
        <v>16</v>
      </c>
      <c r="O25" s="221">
        <v>16</v>
      </c>
      <c r="P25" s="221">
        <v>16</v>
      </c>
      <c r="Q25" s="221">
        <v>16</v>
      </c>
      <c r="R25" s="221">
        <v>16</v>
      </c>
      <c r="S25" s="221">
        <v>16</v>
      </c>
      <c r="T25" s="221">
        <v>16</v>
      </c>
      <c r="U25" s="221">
        <v>12</v>
      </c>
      <c r="V25" s="221">
        <v>0</v>
      </c>
      <c r="W25" s="221">
        <v>10</v>
      </c>
      <c r="X25" s="221">
        <v>10</v>
      </c>
      <c r="Y25" s="221">
        <v>10</v>
      </c>
      <c r="Z25" s="221">
        <v>20</v>
      </c>
      <c r="AA25" s="221">
        <v>20</v>
      </c>
      <c r="AB25" s="221">
        <v>10</v>
      </c>
      <c r="AC25" s="221">
        <v>10</v>
      </c>
      <c r="AD25" s="221">
        <v>10</v>
      </c>
      <c r="AE25" s="221">
        <v>0</v>
      </c>
      <c r="AF25" s="221">
        <v>15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0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8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8</v>
      </c>
      <c r="K29" s="221">
        <v>8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  <c r="Q29" s="221">
        <v>0</v>
      </c>
      <c r="R29" s="221">
        <v>0</v>
      </c>
      <c r="S29" s="221">
        <v>0</v>
      </c>
      <c r="T29" s="221">
        <v>0</v>
      </c>
      <c r="U29" s="221">
        <v>0</v>
      </c>
      <c r="V29" s="221">
        <v>0</v>
      </c>
      <c r="W29" s="221">
        <v>0</v>
      </c>
      <c r="X29" s="221">
        <v>0</v>
      </c>
      <c r="Y29" s="221">
        <v>0</v>
      </c>
      <c r="Z29" s="221">
        <v>0</v>
      </c>
      <c r="AA29" s="221">
        <v>0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348">
        <v>12</v>
      </c>
      <c r="N31" s="348">
        <v>12</v>
      </c>
      <c r="O31" s="348">
        <v>12</v>
      </c>
      <c r="P31" s="348">
        <v>12</v>
      </c>
      <c r="Q31" s="348">
        <v>12</v>
      </c>
      <c r="R31" s="348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>
        <v>11</v>
      </c>
      <c r="F32" s="221">
        <v>11</v>
      </c>
      <c r="G32" s="221">
        <v>11</v>
      </c>
      <c r="H32" s="221">
        <v>11</v>
      </c>
      <c r="I32" s="221">
        <v>11</v>
      </c>
      <c r="J32" s="221">
        <v>11</v>
      </c>
      <c r="K32" s="221">
        <v>11</v>
      </c>
      <c r="L32" s="221">
        <v>11</v>
      </c>
      <c r="M32" s="221">
        <v>0</v>
      </c>
      <c r="N32" s="221">
        <v>0</v>
      </c>
      <c r="O32" s="221">
        <v>0</v>
      </c>
      <c r="P32" s="221">
        <v>0</v>
      </c>
      <c r="Q32" s="221">
        <v>0</v>
      </c>
      <c r="R32" s="221">
        <v>0</v>
      </c>
      <c r="S32" s="221">
        <v>0</v>
      </c>
      <c r="T32" s="221">
        <v>0</v>
      </c>
      <c r="U32" s="221">
        <v>0</v>
      </c>
      <c r="V32" s="221">
        <v>0</v>
      </c>
      <c r="W32" s="221">
        <v>0</v>
      </c>
      <c r="X32" s="221">
        <v>0</v>
      </c>
      <c r="Y32" s="221">
        <v>0</v>
      </c>
      <c r="Z32" s="221">
        <v>0</v>
      </c>
      <c r="AA32" s="221">
        <v>0</v>
      </c>
      <c r="AB32" s="221">
        <v>11</v>
      </c>
      <c r="AC32" s="221">
        <v>11</v>
      </c>
      <c r="AD32" s="221">
        <v>11</v>
      </c>
      <c r="AE32" s="221">
        <v>11</v>
      </c>
      <c r="AF32" s="221">
        <v>11</v>
      </c>
      <c r="AG32" s="230">
        <v>11.88</v>
      </c>
      <c r="AH32" s="226">
        <f t="shared" si="2"/>
        <v>11</v>
      </c>
      <c r="AI32" s="227">
        <f t="shared" si="3"/>
        <v>0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10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3</v>
      </c>
      <c r="N35" s="221">
        <v>3</v>
      </c>
      <c r="O35" s="221">
        <v>3</v>
      </c>
      <c r="P35" s="221">
        <v>3</v>
      </c>
      <c r="Q35" s="221">
        <v>3</v>
      </c>
      <c r="R35" s="221">
        <v>3</v>
      </c>
      <c r="S35" s="221">
        <v>3</v>
      </c>
      <c r="T35" s="221">
        <v>3</v>
      </c>
      <c r="U35" s="221">
        <v>3</v>
      </c>
      <c r="V35" s="221">
        <v>3</v>
      </c>
      <c r="W35" s="221">
        <v>3</v>
      </c>
      <c r="X35" s="221">
        <v>3</v>
      </c>
      <c r="Y35" s="221">
        <v>3</v>
      </c>
      <c r="Z35" s="221">
        <v>3</v>
      </c>
      <c r="AA35" s="221">
        <v>3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3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327</v>
      </c>
      <c r="C36" s="237">
        <v>327</v>
      </c>
      <c r="D36" s="237">
        <v>327</v>
      </c>
      <c r="E36" s="237">
        <v>327</v>
      </c>
      <c r="F36" s="237">
        <v>327</v>
      </c>
      <c r="G36" s="237">
        <v>327</v>
      </c>
      <c r="H36" s="237">
        <v>327</v>
      </c>
      <c r="I36" s="237">
        <v>327</v>
      </c>
      <c r="J36" s="237">
        <v>327</v>
      </c>
      <c r="K36" s="237">
        <v>327</v>
      </c>
      <c r="L36" s="237">
        <v>327</v>
      </c>
      <c r="M36" s="237">
        <v>327</v>
      </c>
      <c r="N36" s="237">
        <v>327</v>
      </c>
      <c r="O36" s="237">
        <v>327</v>
      </c>
      <c r="P36" s="237">
        <v>327</v>
      </c>
      <c r="Q36" s="237">
        <v>327</v>
      </c>
      <c r="R36" s="237">
        <v>327</v>
      </c>
      <c r="S36" s="237">
        <v>327</v>
      </c>
      <c r="T36" s="237">
        <v>327</v>
      </c>
      <c r="U36" s="237">
        <v>327</v>
      </c>
      <c r="V36" s="237">
        <v>327</v>
      </c>
      <c r="W36" s="237">
        <v>327</v>
      </c>
      <c r="X36" s="237">
        <v>327</v>
      </c>
      <c r="Y36" s="237">
        <v>327</v>
      </c>
      <c r="Z36" s="237">
        <v>327</v>
      </c>
      <c r="AA36" s="237">
        <v>327</v>
      </c>
      <c r="AB36" s="237">
        <v>327</v>
      </c>
      <c r="AC36" s="237">
        <v>327</v>
      </c>
      <c r="AD36" s="237">
        <v>327</v>
      </c>
      <c r="AE36" s="237">
        <v>327</v>
      </c>
      <c r="AF36" s="237">
        <v>327</v>
      </c>
      <c r="AG36" s="235">
        <v>85</v>
      </c>
      <c r="AH36" s="226">
        <f t="shared" si="2"/>
        <v>327</v>
      </c>
      <c r="AI36" s="227">
        <f t="shared" si="3"/>
        <v>327</v>
      </c>
      <c r="AK36" s="228"/>
    </row>
    <row r="37" spans="1:88" ht="15.75" thickBot="1" x14ac:dyDescent="0.3">
      <c r="A37" s="238" t="s">
        <v>45</v>
      </c>
      <c r="B37" s="239">
        <v>0</v>
      </c>
      <c r="C37" s="239">
        <v>0</v>
      </c>
      <c r="D37" s="239">
        <v>0</v>
      </c>
      <c r="E37" s="239">
        <v>0</v>
      </c>
      <c r="F37" s="237">
        <v>0</v>
      </c>
      <c r="G37" s="237">
        <v>0</v>
      </c>
      <c r="H37" s="237">
        <v>0</v>
      </c>
      <c r="I37" s="237">
        <v>0</v>
      </c>
      <c r="J37" s="237">
        <v>0</v>
      </c>
      <c r="K37" s="237">
        <v>0</v>
      </c>
      <c r="L37" s="237">
        <v>0</v>
      </c>
      <c r="M37" s="237">
        <v>0</v>
      </c>
      <c r="N37" s="237">
        <v>0</v>
      </c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0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>SUM(B11:B36)</f>
        <v>856.4</v>
      </c>
      <c r="C38" s="241">
        <f t="shared" ref="C38:AG38" si="4">SUM(C11:C36)</f>
        <v>738.8</v>
      </c>
      <c r="D38" s="241">
        <f t="shared" si="4"/>
        <v>777.3</v>
      </c>
      <c r="E38" s="241">
        <f t="shared" si="4"/>
        <v>802.19999999999993</v>
      </c>
      <c r="F38" s="241">
        <f t="shared" si="4"/>
        <v>813.59999999999991</v>
      </c>
      <c r="G38" s="241">
        <f t="shared" si="4"/>
        <v>846</v>
      </c>
      <c r="H38" s="241">
        <f t="shared" si="4"/>
        <v>852.3</v>
      </c>
      <c r="I38" s="241">
        <f t="shared" si="4"/>
        <v>848.5</v>
      </c>
      <c r="J38" s="241">
        <f t="shared" si="4"/>
        <v>848.5</v>
      </c>
      <c r="K38" s="241">
        <f t="shared" si="4"/>
        <v>848.5</v>
      </c>
      <c r="L38" s="241">
        <f t="shared" si="4"/>
        <v>840.5</v>
      </c>
      <c r="M38" s="241">
        <f t="shared" si="4"/>
        <v>836.6</v>
      </c>
      <c r="N38" s="241">
        <f t="shared" si="4"/>
        <v>836.40000000000009</v>
      </c>
      <c r="O38" s="241">
        <f t="shared" si="4"/>
        <v>836.40000000000009</v>
      </c>
      <c r="P38" s="241">
        <f t="shared" si="4"/>
        <v>836.40000000000009</v>
      </c>
      <c r="Q38" s="241">
        <f t="shared" si="4"/>
        <v>836.40000000000009</v>
      </c>
      <c r="R38" s="241">
        <f t="shared" si="4"/>
        <v>836.40000000000009</v>
      </c>
      <c r="S38" s="241">
        <f t="shared" si="4"/>
        <v>836.3</v>
      </c>
      <c r="T38" s="241">
        <f t="shared" si="4"/>
        <v>829.2</v>
      </c>
      <c r="U38" s="241">
        <f t="shared" si="4"/>
        <v>795.2</v>
      </c>
      <c r="V38" s="241">
        <f t="shared" si="4"/>
        <v>793.2</v>
      </c>
      <c r="W38" s="241">
        <f t="shared" si="4"/>
        <v>793.4</v>
      </c>
      <c r="X38" s="241">
        <f t="shared" si="4"/>
        <v>793.4</v>
      </c>
      <c r="Y38" s="241">
        <f t="shared" si="4"/>
        <v>793.4</v>
      </c>
      <c r="Z38" s="241">
        <f t="shared" si="4"/>
        <v>832.2</v>
      </c>
      <c r="AA38" s="241">
        <f t="shared" si="4"/>
        <v>823.2</v>
      </c>
      <c r="AB38" s="241">
        <f t="shared" si="4"/>
        <v>840.3</v>
      </c>
      <c r="AC38" s="241">
        <f t="shared" si="4"/>
        <v>840.3</v>
      </c>
      <c r="AD38" s="241">
        <f t="shared" si="4"/>
        <v>840.3</v>
      </c>
      <c r="AE38" s="241">
        <f t="shared" si="4"/>
        <v>803.3</v>
      </c>
      <c r="AF38" s="241">
        <f t="shared" si="4"/>
        <v>865.3</v>
      </c>
      <c r="AG38" s="242">
        <f t="shared" si="4"/>
        <v>665.78</v>
      </c>
      <c r="AH38" s="226">
        <f t="shared" si="2"/>
        <v>865.3</v>
      </c>
      <c r="AI38" s="227">
        <f t="shared" si="3"/>
        <v>738.8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143.1</v>
      </c>
      <c r="C43" s="221">
        <v>143.19999999999999</v>
      </c>
      <c r="D43" s="221">
        <v>142.9</v>
      </c>
      <c r="E43" s="221">
        <v>142.9</v>
      </c>
      <c r="F43" s="221">
        <v>72.8</v>
      </c>
      <c r="G43" s="221">
        <v>73</v>
      </c>
      <c r="H43" s="221">
        <v>73</v>
      </c>
      <c r="I43" s="221">
        <v>73</v>
      </c>
      <c r="J43" s="221">
        <v>91.1</v>
      </c>
      <c r="K43" s="221">
        <v>143.69999999999999</v>
      </c>
      <c r="L43" s="221">
        <v>143.69999999999999</v>
      </c>
      <c r="M43" s="221">
        <v>143.69999999999999</v>
      </c>
      <c r="N43" s="221">
        <v>142.19999999999999</v>
      </c>
      <c r="O43" s="221">
        <v>143.5</v>
      </c>
      <c r="P43" s="221">
        <v>142.9</v>
      </c>
      <c r="Q43" s="221">
        <v>142</v>
      </c>
      <c r="R43" s="221">
        <v>141.1</v>
      </c>
      <c r="S43" s="221">
        <v>142.5</v>
      </c>
      <c r="T43" s="221">
        <v>142.5</v>
      </c>
      <c r="U43" s="221">
        <v>142.5</v>
      </c>
      <c r="V43" s="221">
        <v>142.5</v>
      </c>
      <c r="W43" s="221">
        <v>142.5</v>
      </c>
      <c r="X43" s="221">
        <v>142.5</v>
      </c>
      <c r="Y43" s="221">
        <v>142.5</v>
      </c>
      <c r="Z43" s="221">
        <v>142.5</v>
      </c>
      <c r="AA43" s="221">
        <v>142.5</v>
      </c>
      <c r="AB43" s="221">
        <v>142.5</v>
      </c>
      <c r="AC43" s="221">
        <v>142.5</v>
      </c>
      <c r="AD43" s="221">
        <v>142.5</v>
      </c>
      <c r="AE43" s="221">
        <v>142.5</v>
      </c>
      <c r="AF43" s="221">
        <v>142.5</v>
      </c>
      <c r="AG43" s="230">
        <v>144</v>
      </c>
      <c r="AH43" s="226">
        <f t="shared" si="2"/>
        <v>143.69999999999999</v>
      </c>
      <c r="AI43" s="227">
        <f t="shared" si="3"/>
        <v>72.8</v>
      </c>
      <c r="AK43" s="228"/>
    </row>
    <row r="44" spans="1:88" x14ac:dyDescent="0.25">
      <c r="A44" s="234" t="s">
        <v>52</v>
      </c>
      <c r="B44" s="245">
        <v>69.7</v>
      </c>
      <c r="C44" s="245">
        <v>70</v>
      </c>
      <c r="D44" s="245">
        <v>70</v>
      </c>
      <c r="E44" s="245">
        <v>70</v>
      </c>
      <c r="F44" s="245">
        <v>70</v>
      </c>
      <c r="G44" s="245">
        <v>70</v>
      </c>
      <c r="H44" s="245">
        <v>70</v>
      </c>
      <c r="I44" s="245">
        <v>70</v>
      </c>
      <c r="J44" s="245">
        <v>70</v>
      </c>
      <c r="K44" s="245">
        <v>70</v>
      </c>
      <c r="L44" s="245">
        <v>70</v>
      </c>
      <c r="M44" s="221">
        <v>70.5</v>
      </c>
      <c r="N44" s="221">
        <v>70.2</v>
      </c>
      <c r="O44" s="221">
        <v>71.7</v>
      </c>
      <c r="P44" s="221">
        <v>71.7</v>
      </c>
      <c r="Q44" s="221">
        <v>71.3</v>
      </c>
      <c r="R44" s="221">
        <v>73</v>
      </c>
      <c r="S44" s="221">
        <v>71.900000000000006</v>
      </c>
      <c r="T44" s="221">
        <v>71.900000000000006</v>
      </c>
      <c r="U44" s="221">
        <v>71.900000000000006</v>
      </c>
      <c r="V44" s="221">
        <v>71.900000000000006</v>
      </c>
      <c r="W44" s="221">
        <v>71.900000000000006</v>
      </c>
      <c r="X44" s="221">
        <v>71.900000000000006</v>
      </c>
      <c r="Y44" s="221">
        <v>71.900000000000006</v>
      </c>
      <c r="Z44" s="221">
        <v>71.900000000000006</v>
      </c>
      <c r="AA44" s="221">
        <v>71.900000000000006</v>
      </c>
      <c r="AB44" s="245">
        <v>71.900000000000006</v>
      </c>
      <c r="AC44" s="245">
        <v>71.900000000000006</v>
      </c>
      <c r="AD44" s="245">
        <v>71.900000000000006</v>
      </c>
      <c r="AE44" s="245">
        <v>71.900000000000006</v>
      </c>
      <c r="AF44" s="245">
        <v>71.900000000000006</v>
      </c>
      <c r="AG44" s="235">
        <v>70</v>
      </c>
      <c r="AH44" s="226">
        <f t="shared" si="2"/>
        <v>73</v>
      </c>
      <c r="AI44" s="227">
        <f t="shared" si="3"/>
        <v>69.7</v>
      </c>
      <c r="AK44" s="228"/>
    </row>
    <row r="45" spans="1:88" x14ac:dyDescent="0.25">
      <c r="A45" s="234" t="s">
        <v>53</v>
      </c>
      <c r="B45" s="245">
        <v>64.2</v>
      </c>
      <c r="C45" s="245">
        <v>64.599999999999994</v>
      </c>
      <c r="D45" s="245">
        <v>64</v>
      </c>
      <c r="E45" s="245">
        <v>64</v>
      </c>
      <c r="F45" s="245">
        <v>64</v>
      </c>
      <c r="G45" s="245">
        <v>64</v>
      </c>
      <c r="H45" s="245">
        <v>64</v>
      </c>
      <c r="I45" s="245">
        <v>64</v>
      </c>
      <c r="J45" s="245">
        <v>64</v>
      </c>
      <c r="K45" s="245">
        <v>64</v>
      </c>
      <c r="L45" s="245">
        <v>64</v>
      </c>
      <c r="M45" s="221">
        <v>64.8</v>
      </c>
      <c r="N45" s="221">
        <v>63.6</v>
      </c>
      <c r="O45" s="221">
        <v>64.5</v>
      </c>
      <c r="P45" s="221">
        <v>64</v>
      </c>
      <c r="Q45" s="221">
        <v>64.2</v>
      </c>
      <c r="R45" s="221">
        <v>63.8</v>
      </c>
      <c r="S45" s="221">
        <v>64.2</v>
      </c>
      <c r="T45" s="221">
        <v>64.2</v>
      </c>
      <c r="U45" s="221">
        <v>64.2</v>
      </c>
      <c r="V45" s="221">
        <v>64.2</v>
      </c>
      <c r="W45" s="221">
        <v>64.2</v>
      </c>
      <c r="X45" s="221">
        <v>64.2</v>
      </c>
      <c r="Y45" s="221">
        <v>64.2</v>
      </c>
      <c r="Z45" s="221">
        <v>64.2</v>
      </c>
      <c r="AA45" s="221">
        <v>64.2</v>
      </c>
      <c r="AB45" s="245">
        <v>64.2</v>
      </c>
      <c r="AC45" s="245">
        <v>64.2</v>
      </c>
      <c r="AD45" s="245">
        <v>64.2</v>
      </c>
      <c r="AE45" s="245">
        <v>64.2</v>
      </c>
      <c r="AF45" s="245">
        <v>64.2</v>
      </c>
      <c r="AG45" s="235">
        <v>69</v>
      </c>
      <c r="AH45" s="226">
        <f t="shared" si="2"/>
        <v>64.8</v>
      </c>
      <c r="AI45" s="227">
        <f t="shared" si="3"/>
        <v>63.6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60.4</v>
      </c>
      <c r="E46" s="237">
        <v>60.4</v>
      </c>
      <c r="F46" s="237">
        <v>60.4</v>
      </c>
      <c r="G46" s="237">
        <v>60.4</v>
      </c>
      <c r="H46" s="237">
        <v>60.4</v>
      </c>
      <c r="I46" s="237">
        <v>60.4</v>
      </c>
      <c r="J46" s="237">
        <v>60.4</v>
      </c>
      <c r="K46" s="237">
        <v>60.4</v>
      </c>
      <c r="L46" s="237">
        <v>60.4</v>
      </c>
      <c r="M46" s="221">
        <v>60.4</v>
      </c>
      <c r="N46" s="221">
        <v>60.4</v>
      </c>
      <c r="O46" s="221">
        <v>60.4</v>
      </c>
      <c r="P46" s="221">
        <v>30</v>
      </c>
      <c r="Q46" s="221">
        <v>28.2</v>
      </c>
      <c r="R46" s="221">
        <v>60</v>
      </c>
      <c r="S46" s="221">
        <v>60.4</v>
      </c>
      <c r="T46" s="221">
        <v>60.4</v>
      </c>
      <c r="U46" s="221">
        <v>60.4</v>
      </c>
      <c r="V46" s="221">
        <v>60.4</v>
      </c>
      <c r="W46" s="221">
        <v>60.4</v>
      </c>
      <c r="X46" s="221">
        <v>60.4</v>
      </c>
      <c r="Y46" s="221">
        <v>60.4</v>
      </c>
      <c r="Z46" s="221">
        <v>60.4</v>
      </c>
      <c r="AA46" s="221">
        <v>60.4</v>
      </c>
      <c r="AB46" s="237">
        <v>60.4</v>
      </c>
      <c r="AC46" s="237">
        <v>60.4</v>
      </c>
      <c r="AD46" s="237">
        <v>60.4</v>
      </c>
      <c r="AE46" s="237">
        <v>60.4</v>
      </c>
      <c r="AF46" s="237">
        <v>60.4</v>
      </c>
      <c r="AG46" s="235">
        <v>60</v>
      </c>
      <c r="AH46" s="226">
        <f t="shared" si="2"/>
        <v>60.4</v>
      </c>
      <c r="AI46" s="227">
        <f t="shared" si="3"/>
        <v>28.2</v>
      </c>
      <c r="AK46" s="228"/>
    </row>
    <row r="47" spans="1:88" x14ac:dyDescent="0.25">
      <c r="A47" s="234" t="s">
        <v>55</v>
      </c>
      <c r="B47" s="237">
        <v>28.5</v>
      </c>
      <c r="C47" s="237">
        <v>28.5</v>
      </c>
      <c r="D47" s="237">
        <v>28.5</v>
      </c>
      <c r="E47" s="237">
        <v>28.5</v>
      </c>
      <c r="F47" s="237">
        <v>28.5</v>
      </c>
      <c r="G47" s="237">
        <v>28.5</v>
      </c>
      <c r="H47" s="237">
        <v>28.5</v>
      </c>
      <c r="I47" s="237">
        <v>28.5</v>
      </c>
      <c r="J47" s="237">
        <v>28.5</v>
      </c>
      <c r="K47" s="237">
        <v>28.5</v>
      </c>
      <c r="L47" s="237">
        <v>28.5</v>
      </c>
      <c r="M47" s="221">
        <v>28.2</v>
      </c>
      <c r="N47" s="221">
        <v>28.2</v>
      </c>
      <c r="O47" s="221">
        <v>0</v>
      </c>
      <c r="P47" s="221">
        <v>28.6</v>
      </c>
      <c r="Q47" s="221">
        <v>28.3</v>
      </c>
      <c r="R47" s="221">
        <v>28.2</v>
      </c>
      <c r="S47" s="221">
        <v>28.2</v>
      </c>
      <c r="T47" s="221">
        <v>28.2</v>
      </c>
      <c r="U47" s="221">
        <v>28.2</v>
      </c>
      <c r="V47" s="221">
        <v>15</v>
      </c>
      <c r="W47" s="221">
        <v>15</v>
      </c>
      <c r="X47" s="221">
        <v>15</v>
      </c>
      <c r="Y47" s="221">
        <v>15</v>
      </c>
      <c r="Z47" s="221">
        <v>15</v>
      </c>
      <c r="AA47" s="221">
        <v>15</v>
      </c>
      <c r="AB47" s="237">
        <v>15</v>
      </c>
      <c r="AC47" s="237">
        <v>15</v>
      </c>
      <c r="AD47" s="237">
        <v>15</v>
      </c>
      <c r="AE47" s="237">
        <v>15</v>
      </c>
      <c r="AF47" s="237">
        <v>15</v>
      </c>
      <c r="AG47" s="235">
        <v>30</v>
      </c>
      <c r="AH47" s="226">
        <f t="shared" si="2"/>
        <v>28.6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4</v>
      </c>
      <c r="N48" s="221">
        <v>4</v>
      </c>
      <c r="O48" s="221">
        <v>5</v>
      </c>
      <c r="P48" s="221">
        <v>5</v>
      </c>
      <c r="Q48" s="221">
        <v>7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8</v>
      </c>
      <c r="Z48" s="221">
        <v>8</v>
      </c>
      <c r="AA48" s="221">
        <v>8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15.3</v>
      </c>
      <c r="C49" s="245">
        <v>14.7</v>
      </c>
      <c r="D49" s="245">
        <v>14.4</v>
      </c>
      <c r="E49" s="245">
        <v>14.4</v>
      </c>
      <c r="F49" s="245">
        <v>14.4</v>
      </c>
      <c r="G49" s="245">
        <v>13.7</v>
      </c>
      <c r="H49" s="245">
        <v>13.7</v>
      </c>
      <c r="I49" s="245">
        <v>13.7</v>
      </c>
      <c r="J49" s="245">
        <v>13.7</v>
      </c>
      <c r="K49" s="245">
        <v>12.9</v>
      </c>
      <c r="L49" s="245">
        <v>12.9</v>
      </c>
      <c r="M49" s="245">
        <v>12.9</v>
      </c>
      <c r="N49" s="245">
        <v>12.9</v>
      </c>
      <c r="O49" s="221">
        <v>14.4</v>
      </c>
      <c r="P49" s="221">
        <v>14.4</v>
      </c>
      <c r="Q49" s="221">
        <v>14.3</v>
      </c>
      <c r="R49" s="221">
        <v>14.3</v>
      </c>
      <c r="S49" s="221">
        <v>14.3</v>
      </c>
      <c r="T49" s="221">
        <v>14.3</v>
      </c>
      <c r="U49" s="221">
        <v>14.3</v>
      </c>
      <c r="V49" s="221">
        <v>14.3</v>
      </c>
      <c r="W49" s="221">
        <v>14.3</v>
      </c>
      <c r="X49" s="221">
        <v>14.3</v>
      </c>
      <c r="Y49" s="221">
        <v>14.3</v>
      </c>
      <c r="Z49" s="221">
        <v>14.3</v>
      </c>
      <c r="AA49" s="221">
        <v>14.3</v>
      </c>
      <c r="AB49" s="245">
        <v>14.3</v>
      </c>
      <c r="AC49" s="245">
        <v>14.3</v>
      </c>
      <c r="AD49" s="245">
        <v>14.3</v>
      </c>
      <c r="AE49" s="245">
        <v>13</v>
      </c>
      <c r="AF49" s="245">
        <v>12</v>
      </c>
      <c r="AG49" s="235">
        <v>24</v>
      </c>
      <c r="AH49" s="226">
        <f t="shared" si="2"/>
        <v>15.3</v>
      </c>
      <c r="AI49" s="227">
        <f t="shared" si="3"/>
        <v>12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45">
        <v>3</v>
      </c>
      <c r="U50" s="245">
        <v>3</v>
      </c>
      <c r="V50" s="245">
        <v>3</v>
      </c>
      <c r="W50" s="245">
        <v>3</v>
      </c>
      <c r="X50" s="245">
        <v>3</v>
      </c>
      <c r="Y50" s="245">
        <v>3</v>
      </c>
      <c r="Z50" s="245">
        <v>3</v>
      </c>
      <c r="AA50" s="245">
        <v>3</v>
      </c>
      <c r="AB50" s="245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9.3000000000000007</v>
      </c>
      <c r="C51" s="245">
        <v>10.7</v>
      </c>
      <c r="D51" s="245">
        <v>11</v>
      </c>
      <c r="E51" s="245">
        <v>11</v>
      </c>
      <c r="F51" s="245">
        <v>11</v>
      </c>
      <c r="G51" s="245">
        <v>10.7</v>
      </c>
      <c r="H51" s="245">
        <v>10.7</v>
      </c>
      <c r="I51" s="245">
        <v>10.7</v>
      </c>
      <c r="J51" s="245">
        <v>10.7</v>
      </c>
      <c r="K51" s="245">
        <v>10.8</v>
      </c>
      <c r="L51" s="245">
        <v>10.8</v>
      </c>
      <c r="M51" s="245">
        <v>10.8</v>
      </c>
      <c r="N51" s="245">
        <v>10.8</v>
      </c>
      <c r="O51" s="245">
        <v>10.8</v>
      </c>
      <c r="P51" s="245">
        <v>10.8</v>
      </c>
      <c r="Q51" s="245">
        <v>10.8</v>
      </c>
      <c r="R51" s="245">
        <v>10.8</v>
      </c>
      <c r="S51" s="245">
        <v>10.8</v>
      </c>
      <c r="T51" s="245">
        <v>10.8</v>
      </c>
      <c r="U51" s="245">
        <v>10.8</v>
      </c>
      <c r="V51" s="245">
        <v>10.8</v>
      </c>
      <c r="W51" s="245">
        <v>10.8</v>
      </c>
      <c r="X51" s="245">
        <v>10.8</v>
      </c>
      <c r="Y51" s="245">
        <v>10.8</v>
      </c>
      <c r="Z51" s="245">
        <v>10.8</v>
      </c>
      <c r="AA51" s="245">
        <v>10.8</v>
      </c>
      <c r="AB51" s="245">
        <v>10.8</v>
      </c>
      <c r="AC51" s="245">
        <v>10.8</v>
      </c>
      <c r="AD51" s="245">
        <v>10.8</v>
      </c>
      <c r="AE51" s="245">
        <v>11</v>
      </c>
      <c r="AF51" s="245">
        <v>11</v>
      </c>
      <c r="AG51" s="235">
        <v>14.1</v>
      </c>
      <c r="AH51" s="226">
        <f t="shared" si="2"/>
        <v>11</v>
      </c>
      <c r="AI51" s="227">
        <f t="shared" si="3"/>
        <v>9.3000000000000007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14.2</v>
      </c>
      <c r="C52" s="245">
        <v>0</v>
      </c>
      <c r="D52" s="245">
        <v>14</v>
      </c>
      <c r="E52" s="245">
        <v>14</v>
      </c>
      <c r="F52" s="245">
        <v>14</v>
      </c>
      <c r="G52" s="245">
        <v>4</v>
      </c>
      <c r="H52" s="245">
        <v>4</v>
      </c>
      <c r="I52" s="245">
        <v>13.9</v>
      </c>
      <c r="J52" s="245">
        <v>13.9</v>
      </c>
      <c r="K52" s="245">
        <v>14</v>
      </c>
      <c r="L52" s="245">
        <v>14</v>
      </c>
      <c r="M52" s="245">
        <v>14</v>
      </c>
      <c r="N52" s="245">
        <v>14</v>
      </c>
      <c r="O52" s="245">
        <v>14</v>
      </c>
      <c r="P52" s="245">
        <v>14</v>
      </c>
      <c r="Q52" s="245">
        <v>14</v>
      </c>
      <c r="R52" s="245">
        <v>14</v>
      </c>
      <c r="S52" s="245">
        <v>14</v>
      </c>
      <c r="T52" s="245">
        <v>14</v>
      </c>
      <c r="U52" s="245">
        <v>14</v>
      </c>
      <c r="V52" s="245">
        <v>14</v>
      </c>
      <c r="W52" s="245">
        <v>14</v>
      </c>
      <c r="X52" s="245">
        <v>14</v>
      </c>
      <c r="Y52" s="245">
        <v>14</v>
      </c>
      <c r="Z52" s="245">
        <v>14</v>
      </c>
      <c r="AA52" s="245">
        <v>14</v>
      </c>
      <c r="AB52" s="245">
        <v>14</v>
      </c>
      <c r="AC52" s="245">
        <v>14</v>
      </c>
      <c r="AD52" s="245">
        <v>14</v>
      </c>
      <c r="AE52" s="245">
        <v>0</v>
      </c>
      <c r="AF52" s="245">
        <v>14</v>
      </c>
      <c r="AG52" s="235">
        <v>14</v>
      </c>
      <c r="AH52" s="226">
        <f t="shared" si="2"/>
        <v>14.2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6</v>
      </c>
      <c r="C53" s="245">
        <v>6</v>
      </c>
      <c r="D53" s="245">
        <v>6</v>
      </c>
      <c r="E53" s="245">
        <v>6</v>
      </c>
      <c r="F53" s="245">
        <v>6</v>
      </c>
      <c r="G53" s="245">
        <v>6</v>
      </c>
      <c r="H53" s="245">
        <v>6</v>
      </c>
      <c r="I53" s="245">
        <v>6</v>
      </c>
      <c r="J53" s="245">
        <v>6</v>
      </c>
      <c r="K53" s="245">
        <v>6</v>
      </c>
      <c r="L53" s="245">
        <v>6</v>
      </c>
      <c r="M53" s="245">
        <v>6</v>
      </c>
      <c r="N53" s="245">
        <v>6</v>
      </c>
      <c r="O53" s="245">
        <v>6</v>
      </c>
      <c r="P53" s="245">
        <v>6</v>
      </c>
      <c r="Q53" s="245">
        <v>6</v>
      </c>
      <c r="R53" s="245">
        <v>6</v>
      </c>
      <c r="S53" s="245">
        <v>6</v>
      </c>
      <c r="T53" s="245">
        <v>6</v>
      </c>
      <c r="U53" s="245">
        <v>6</v>
      </c>
      <c r="V53" s="245">
        <v>6</v>
      </c>
      <c r="W53" s="245">
        <v>6</v>
      </c>
      <c r="X53" s="245">
        <v>6</v>
      </c>
      <c r="Y53" s="245">
        <v>6</v>
      </c>
      <c r="Z53" s="245">
        <v>6</v>
      </c>
      <c r="AA53" s="245">
        <v>6</v>
      </c>
      <c r="AB53" s="245">
        <v>6</v>
      </c>
      <c r="AC53" s="245">
        <v>6</v>
      </c>
      <c r="AD53" s="245">
        <v>6</v>
      </c>
      <c r="AE53" s="245">
        <v>6</v>
      </c>
      <c r="AF53" s="245">
        <v>6</v>
      </c>
      <c r="AG53" s="235">
        <v>10.050000000000001</v>
      </c>
      <c r="AH53" s="226">
        <f t="shared" si="2"/>
        <v>6</v>
      </c>
      <c r="AI53" s="227">
        <f t="shared" si="3"/>
        <v>6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45">
        <v>6.2</v>
      </c>
      <c r="V54" s="245">
        <v>6.2</v>
      </c>
      <c r="W54" s="245">
        <v>6.2</v>
      </c>
      <c r="X54" s="245">
        <v>6.2</v>
      </c>
      <c r="Y54" s="245">
        <v>6.2</v>
      </c>
      <c r="Z54" s="245">
        <v>6.2</v>
      </c>
      <c r="AA54" s="245">
        <v>6.2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423.44</v>
      </c>
      <c r="C56" s="241">
        <f t="shared" ref="C56:AG56" si="6">SUM(C43:C55)</f>
        <v>410.83999999999992</v>
      </c>
      <c r="D56" s="241">
        <f t="shared" si="6"/>
        <v>423.93999999999994</v>
      </c>
      <c r="E56" s="241">
        <f t="shared" si="6"/>
        <v>423.93999999999994</v>
      </c>
      <c r="F56" s="241">
        <f t="shared" si="6"/>
        <v>353.84</v>
      </c>
      <c r="G56" s="241">
        <f t="shared" si="6"/>
        <v>343.03999999999996</v>
      </c>
      <c r="H56" s="241">
        <f t="shared" si="6"/>
        <v>343.03999999999996</v>
      </c>
      <c r="I56" s="241">
        <f t="shared" si="6"/>
        <v>352.93999999999994</v>
      </c>
      <c r="J56" s="241">
        <f t="shared" si="6"/>
        <v>371.03999999999996</v>
      </c>
      <c r="K56" s="241">
        <f t="shared" si="6"/>
        <v>423.03999999999996</v>
      </c>
      <c r="L56" s="241">
        <f t="shared" si="6"/>
        <v>423.03999999999996</v>
      </c>
      <c r="M56" s="241">
        <f t="shared" si="6"/>
        <v>428.03999999999996</v>
      </c>
      <c r="N56" s="241">
        <f t="shared" si="6"/>
        <v>425.03999999999996</v>
      </c>
      <c r="O56" s="241">
        <f t="shared" si="6"/>
        <v>403.03999999999996</v>
      </c>
      <c r="P56" s="241">
        <f t="shared" si="6"/>
        <v>400.14000000000004</v>
      </c>
      <c r="Q56" s="241">
        <f t="shared" si="6"/>
        <v>398.84000000000003</v>
      </c>
      <c r="R56" s="241">
        <f t="shared" si="6"/>
        <v>431.94</v>
      </c>
      <c r="S56" s="241">
        <f t="shared" si="6"/>
        <v>433.04</v>
      </c>
      <c r="T56" s="241">
        <f t="shared" si="6"/>
        <v>433.04</v>
      </c>
      <c r="U56" s="241">
        <f t="shared" si="6"/>
        <v>433.04</v>
      </c>
      <c r="V56" s="241">
        <f t="shared" si="6"/>
        <v>419.84000000000003</v>
      </c>
      <c r="W56" s="241">
        <f t="shared" si="6"/>
        <v>419.84000000000003</v>
      </c>
      <c r="X56" s="241">
        <f t="shared" si="6"/>
        <v>419.84000000000003</v>
      </c>
      <c r="Y56" s="241">
        <f t="shared" si="6"/>
        <v>419.84000000000003</v>
      </c>
      <c r="Z56" s="241">
        <f t="shared" si="6"/>
        <v>419.84000000000003</v>
      </c>
      <c r="AA56" s="241">
        <f t="shared" si="6"/>
        <v>419.84000000000003</v>
      </c>
      <c r="AB56" s="241">
        <f t="shared" si="6"/>
        <v>411.84000000000003</v>
      </c>
      <c r="AC56" s="241">
        <f t="shared" si="6"/>
        <v>411.84000000000003</v>
      </c>
      <c r="AD56" s="241">
        <f t="shared" si="6"/>
        <v>411.84000000000003</v>
      </c>
      <c r="AE56" s="241">
        <f t="shared" si="6"/>
        <v>396.74</v>
      </c>
      <c r="AF56" s="241">
        <f t="shared" si="6"/>
        <v>409.74</v>
      </c>
      <c r="AG56" s="242">
        <f t="shared" si="6"/>
        <v>489.91</v>
      </c>
      <c r="AH56" s="226">
        <f t="shared" si="2"/>
        <v>433.04</v>
      </c>
      <c r="AI56" s="227">
        <f t="shared" si="3"/>
        <v>343.03999999999996</v>
      </c>
      <c r="AK56" s="228"/>
    </row>
    <row r="57" spans="1:41" x14ac:dyDescent="0.25">
      <c r="A57" s="220" t="s">
        <v>65</v>
      </c>
      <c r="B57" s="221">
        <v>20</v>
      </c>
      <c r="C57" s="221">
        <v>30</v>
      </c>
      <c r="D57" s="221">
        <v>10.6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9.9</v>
      </c>
      <c r="L57" s="221">
        <v>13.8</v>
      </c>
      <c r="M57" s="221">
        <v>20.3</v>
      </c>
      <c r="N57" s="221">
        <v>30</v>
      </c>
      <c r="O57" s="221">
        <v>10</v>
      </c>
      <c r="P57" s="221">
        <v>40.5</v>
      </c>
      <c r="Q57" s="221">
        <v>30</v>
      </c>
      <c r="R57" s="221">
        <v>10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13.4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40.5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10.4</v>
      </c>
      <c r="C58" s="245">
        <v>15.7</v>
      </c>
      <c r="D58" s="245">
        <v>8.1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4.7</v>
      </c>
      <c r="L58" s="245">
        <v>4.7</v>
      </c>
      <c r="M58" s="245">
        <v>9.5</v>
      </c>
      <c r="N58" s="245">
        <v>16</v>
      </c>
      <c r="O58" s="245">
        <v>5.2</v>
      </c>
      <c r="P58" s="245">
        <v>20.5</v>
      </c>
      <c r="Q58" s="245">
        <v>14.1</v>
      </c>
      <c r="R58" s="245">
        <v>4.7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5.2</v>
      </c>
      <c r="AB58" s="245">
        <v>5.0999999999999996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20.5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3.8</v>
      </c>
      <c r="C59" s="247">
        <v>5.7</v>
      </c>
      <c r="D59" s="247">
        <v>3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1.7</v>
      </c>
      <c r="L59" s="247">
        <v>1.7</v>
      </c>
      <c r="M59" s="247">
        <v>3.5</v>
      </c>
      <c r="N59" s="247">
        <v>5.9</v>
      </c>
      <c r="O59" s="247">
        <v>3.8</v>
      </c>
      <c r="P59" s="247">
        <v>7.5</v>
      </c>
      <c r="Q59" s="247">
        <v>5.0999999999999996</v>
      </c>
      <c r="R59" s="247">
        <v>1.7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1.9</v>
      </c>
      <c r="AB59" s="247">
        <v>1.9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7.5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34.199999999999996</v>
      </c>
      <c r="C60" s="241">
        <f t="shared" ref="C60:AG60" si="7">SUM(C57:C59)</f>
        <v>51.400000000000006</v>
      </c>
      <c r="D60" s="241">
        <f t="shared" si="7"/>
        <v>21.7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16.3</v>
      </c>
      <c r="L60" s="241">
        <f t="shared" si="7"/>
        <v>20.2</v>
      </c>
      <c r="M60" s="241">
        <f t="shared" si="7"/>
        <v>33.299999999999997</v>
      </c>
      <c r="N60" s="241">
        <f t="shared" si="7"/>
        <v>51.9</v>
      </c>
      <c r="O60" s="241">
        <f t="shared" si="7"/>
        <v>19</v>
      </c>
      <c r="P60" s="241">
        <f t="shared" si="7"/>
        <v>68.5</v>
      </c>
      <c r="Q60" s="241">
        <f t="shared" si="7"/>
        <v>49.2</v>
      </c>
      <c r="R60" s="241">
        <f t="shared" si="7"/>
        <v>16.399999999999999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20.5</v>
      </c>
      <c r="AB60" s="241">
        <f t="shared" si="7"/>
        <v>7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68.5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74.400000000000006</v>
      </c>
      <c r="C61" s="221">
        <v>73.2</v>
      </c>
      <c r="D61" s="221">
        <v>61.8</v>
      </c>
      <c r="E61" s="221">
        <v>63.2</v>
      </c>
      <c r="F61" s="221">
        <v>71.099999999999994</v>
      </c>
      <c r="G61" s="221">
        <v>57.7</v>
      </c>
      <c r="H61" s="221">
        <v>66.8</v>
      </c>
      <c r="I61" s="221">
        <v>53.7</v>
      </c>
      <c r="J61" s="221">
        <v>53.3</v>
      </c>
      <c r="K61" s="221">
        <v>43.6</v>
      </c>
      <c r="L61" s="221">
        <v>46.9</v>
      </c>
      <c r="M61" s="221">
        <v>50.3</v>
      </c>
      <c r="N61" s="221">
        <v>28.9</v>
      </c>
      <c r="O61" s="221">
        <v>0</v>
      </c>
      <c r="P61" s="221">
        <v>68.2</v>
      </c>
      <c r="Q61" s="221">
        <v>72.599999999999994</v>
      </c>
      <c r="R61" s="221">
        <v>41.6</v>
      </c>
      <c r="S61" s="221">
        <v>40.5</v>
      </c>
      <c r="T61" s="221">
        <v>42</v>
      </c>
      <c r="U61" s="221">
        <v>42</v>
      </c>
      <c r="V61" s="221">
        <v>12</v>
      </c>
      <c r="W61" s="221">
        <v>10.3</v>
      </c>
      <c r="X61" s="221">
        <v>10.3</v>
      </c>
      <c r="Y61" s="221">
        <v>47</v>
      </c>
      <c r="Z61" s="221">
        <v>46.2</v>
      </c>
      <c r="AA61" s="221">
        <v>61</v>
      </c>
      <c r="AB61" s="221">
        <v>56.1</v>
      </c>
      <c r="AC61" s="221">
        <v>64.599999999999994</v>
      </c>
      <c r="AD61" s="221">
        <v>56.8</v>
      </c>
      <c r="AE61" s="221">
        <v>64.5</v>
      </c>
      <c r="AF61" s="221">
        <v>25.8</v>
      </c>
      <c r="AG61" s="230"/>
      <c r="AH61" s="226">
        <f t="shared" si="2"/>
        <v>74.400000000000006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-262.5</v>
      </c>
      <c r="C63" s="245">
        <v>-230</v>
      </c>
      <c r="D63" s="245">
        <v>-310</v>
      </c>
      <c r="E63" s="245">
        <v>-289</v>
      </c>
      <c r="F63" s="245">
        <v>-241.2</v>
      </c>
      <c r="G63" s="245">
        <v>-233.4</v>
      </c>
      <c r="H63" s="245">
        <v>-243.7</v>
      </c>
      <c r="I63" s="245">
        <v>-260.89999999999998</v>
      </c>
      <c r="J63" s="245">
        <v>-242</v>
      </c>
      <c r="K63" s="245">
        <v>-281.60000000000002</v>
      </c>
      <c r="L63" s="245">
        <v>-226.3</v>
      </c>
      <c r="M63" s="245">
        <v>-243.4</v>
      </c>
      <c r="N63" s="245">
        <v>-200.7</v>
      </c>
      <c r="O63" s="245">
        <v>-225</v>
      </c>
      <c r="P63" s="245">
        <v>-237.6</v>
      </c>
      <c r="Q63" s="245">
        <v>-230.9</v>
      </c>
      <c r="R63" s="245">
        <v>-218.8</v>
      </c>
      <c r="S63" s="245">
        <v>-226</v>
      </c>
      <c r="T63" s="245">
        <v>-250</v>
      </c>
      <c r="U63" s="245">
        <v>-260</v>
      </c>
      <c r="V63" s="245">
        <v>-235</v>
      </c>
      <c r="W63" s="245">
        <v>-364</v>
      </c>
      <c r="X63" s="245">
        <v>-288</v>
      </c>
      <c r="Y63" s="245">
        <v>-274</v>
      </c>
      <c r="Z63" s="245">
        <v>-220</v>
      </c>
      <c r="AA63" s="245">
        <v>-175</v>
      </c>
      <c r="AB63" s="245">
        <v>-203</v>
      </c>
      <c r="AC63" s="245">
        <v>-198</v>
      </c>
      <c r="AD63" s="245">
        <v>-264</v>
      </c>
      <c r="AE63" s="245">
        <v>-277</v>
      </c>
      <c r="AF63" s="245">
        <v>-337</v>
      </c>
      <c r="AG63" s="255"/>
      <c r="AH63" s="226">
        <f t="shared" si="2"/>
        <v>-175</v>
      </c>
      <c r="AI63" s="227">
        <f t="shared" si="3"/>
        <v>-364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23.2</v>
      </c>
      <c r="G64" s="256">
        <v>24.5</v>
      </c>
      <c r="H64" s="256">
        <v>24.4</v>
      </c>
      <c r="I64" s="256">
        <v>24.2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12</v>
      </c>
      <c r="P64" s="256">
        <v>12</v>
      </c>
      <c r="Q64" s="256">
        <v>13</v>
      </c>
      <c r="R64" s="256">
        <v>13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24.5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7</v>
      </c>
      <c r="C66" s="257">
        <v>7</v>
      </c>
      <c r="D66" s="257">
        <v>7</v>
      </c>
      <c r="E66" s="257">
        <v>7</v>
      </c>
      <c r="F66" s="257">
        <v>7</v>
      </c>
      <c r="G66" s="257">
        <v>7</v>
      </c>
      <c r="H66" s="257">
        <v>6</v>
      </c>
      <c r="I66" s="257">
        <v>5</v>
      </c>
      <c r="J66" s="257">
        <v>5</v>
      </c>
      <c r="K66" s="257">
        <v>5</v>
      </c>
      <c r="L66" s="257">
        <v>5</v>
      </c>
      <c r="M66" s="257">
        <v>5</v>
      </c>
      <c r="N66" s="257">
        <v>5</v>
      </c>
      <c r="O66" s="257">
        <v>5</v>
      </c>
      <c r="P66" s="257">
        <v>8</v>
      </c>
      <c r="Q66" s="257">
        <v>8</v>
      </c>
      <c r="R66" s="257">
        <v>8</v>
      </c>
      <c r="S66" s="257">
        <v>4.5</v>
      </c>
      <c r="T66" s="257">
        <v>4.5</v>
      </c>
      <c r="U66" s="257">
        <v>4.5</v>
      </c>
      <c r="V66" s="257">
        <v>4.5</v>
      </c>
      <c r="W66" s="257">
        <v>4.5</v>
      </c>
      <c r="X66" s="257">
        <v>4.5</v>
      </c>
      <c r="Y66" s="257">
        <v>4.5</v>
      </c>
      <c r="Z66" s="257">
        <v>4.5</v>
      </c>
      <c r="AA66" s="257">
        <v>4.5</v>
      </c>
      <c r="AB66" s="257">
        <v>4.5</v>
      </c>
      <c r="AC66" s="257">
        <v>4.5</v>
      </c>
      <c r="AD66" s="257">
        <v>4.5</v>
      </c>
      <c r="AE66" s="257">
        <v>4.5</v>
      </c>
      <c r="AF66" s="257">
        <v>4.5</v>
      </c>
      <c r="AG66" s="255"/>
      <c r="AH66" s="226">
        <f t="shared" si="2"/>
        <v>8</v>
      </c>
      <c r="AI66" s="227">
        <f t="shared" si="3"/>
        <v>4.5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7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7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7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7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81.400000000000006</v>
      </c>
      <c r="C72" s="241">
        <f t="shared" ref="C72:L72" si="8">SUMIF(C61:C71,"&gt;0")</f>
        <v>80.2</v>
      </c>
      <c r="D72" s="241">
        <f t="shared" si="8"/>
        <v>68.8</v>
      </c>
      <c r="E72" s="241">
        <f t="shared" si="8"/>
        <v>70.2</v>
      </c>
      <c r="F72" s="241">
        <f t="shared" si="8"/>
        <v>101.3</v>
      </c>
      <c r="G72" s="241">
        <f t="shared" si="8"/>
        <v>89.2</v>
      </c>
      <c r="H72" s="241">
        <f t="shared" si="8"/>
        <v>97.199999999999989</v>
      </c>
      <c r="I72" s="241">
        <f t="shared" si="8"/>
        <v>82.9</v>
      </c>
      <c r="J72" s="241">
        <f t="shared" si="8"/>
        <v>58.3</v>
      </c>
      <c r="K72" s="241">
        <f t="shared" si="8"/>
        <v>48.6</v>
      </c>
      <c r="L72" s="241">
        <f t="shared" si="8"/>
        <v>51.9</v>
      </c>
      <c r="M72" s="241">
        <f>SUMIF(M61:M71,"&gt;0")</f>
        <v>55.3</v>
      </c>
      <c r="N72" s="241">
        <f t="shared" ref="N72:AF72" si="9">SUMIF(N61:N71,"&gt;0")</f>
        <v>33.9</v>
      </c>
      <c r="O72" s="241">
        <f t="shared" si="9"/>
        <v>17</v>
      </c>
      <c r="P72" s="241">
        <f t="shared" si="9"/>
        <v>88.2</v>
      </c>
      <c r="Q72" s="241">
        <f t="shared" si="9"/>
        <v>93.6</v>
      </c>
      <c r="R72" s="241">
        <f t="shared" si="9"/>
        <v>62.6</v>
      </c>
      <c r="S72" s="241">
        <f t="shared" si="9"/>
        <v>45</v>
      </c>
      <c r="T72" s="241">
        <f t="shared" si="9"/>
        <v>46.5</v>
      </c>
      <c r="U72" s="241">
        <f t="shared" si="9"/>
        <v>46.5</v>
      </c>
      <c r="V72" s="241">
        <f t="shared" si="9"/>
        <v>16.5</v>
      </c>
      <c r="W72" s="241">
        <f t="shared" si="9"/>
        <v>14.8</v>
      </c>
      <c r="X72" s="241">
        <f t="shared" si="9"/>
        <v>14.8</v>
      </c>
      <c r="Y72" s="241">
        <f t="shared" si="9"/>
        <v>51.5</v>
      </c>
      <c r="Z72" s="241">
        <f t="shared" si="9"/>
        <v>50.7</v>
      </c>
      <c r="AA72" s="241">
        <f t="shared" si="9"/>
        <v>65.5</v>
      </c>
      <c r="AB72" s="241">
        <f t="shared" si="9"/>
        <v>60.6</v>
      </c>
      <c r="AC72" s="241">
        <f t="shared" si="9"/>
        <v>69.099999999999994</v>
      </c>
      <c r="AD72" s="241">
        <f t="shared" si="9"/>
        <v>61.3</v>
      </c>
      <c r="AE72" s="241">
        <f t="shared" si="9"/>
        <v>69</v>
      </c>
      <c r="AF72" s="241">
        <f t="shared" si="9"/>
        <v>30.3</v>
      </c>
      <c r="AG72" s="261">
        <f>SUM(AG61:AG71)</f>
        <v>0</v>
      </c>
      <c r="AH72" s="226">
        <f t="shared" si="2"/>
        <v>101.3</v>
      </c>
      <c r="AI72" s="227">
        <f t="shared" si="3"/>
        <v>14.8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1933.4400000000003</v>
      </c>
      <c r="C77" s="263">
        <f t="shared" ref="C77:AF77" si="10">C38+C42+C60+C56+C72+C76</f>
        <v>1819.24</v>
      </c>
      <c r="D77" s="263">
        <f t="shared" si="10"/>
        <v>1829.74</v>
      </c>
      <c r="E77" s="263">
        <f t="shared" si="10"/>
        <v>1834.34</v>
      </c>
      <c r="F77" s="263">
        <f t="shared" si="10"/>
        <v>1806.7399999999998</v>
      </c>
      <c r="G77" s="263">
        <f t="shared" si="10"/>
        <v>1816.24</v>
      </c>
      <c r="H77" s="263">
        <f t="shared" si="10"/>
        <v>1830.54</v>
      </c>
      <c r="I77" s="263">
        <f t="shared" si="10"/>
        <v>1822.3400000000001</v>
      </c>
      <c r="J77" s="263">
        <f t="shared" si="10"/>
        <v>1815.84</v>
      </c>
      <c r="K77" s="263">
        <f t="shared" si="10"/>
        <v>1874.4399999999998</v>
      </c>
      <c r="L77" s="263">
        <f t="shared" si="10"/>
        <v>1873.64</v>
      </c>
      <c r="M77" s="263">
        <f t="shared" si="10"/>
        <v>1891.2399999999998</v>
      </c>
      <c r="N77" s="263">
        <f t="shared" si="10"/>
        <v>1885.2400000000002</v>
      </c>
      <c r="O77" s="263">
        <f t="shared" si="10"/>
        <v>1813.44</v>
      </c>
      <c r="P77" s="263">
        <f t="shared" si="10"/>
        <v>1931.2400000000002</v>
      </c>
      <c r="Q77" s="263">
        <f t="shared" si="10"/>
        <v>1916.04</v>
      </c>
      <c r="R77" s="263">
        <f t="shared" si="10"/>
        <v>1885.3400000000001</v>
      </c>
      <c r="S77" s="263">
        <f t="shared" si="10"/>
        <v>1852.34</v>
      </c>
      <c r="T77" s="263">
        <f t="shared" si="10"/>
        <v>1846.74</v>
      </c>
      <c r="U77" s="263">
        <f t="shared" si="10"/>
        <v>1812.74</v>
      </c>
      <c r="V77" s="263">
        <f t="shared" si="10"/>
        <v>1767.54</v>
      </c>
      <c r="W77" s="263">
        <f t="shared" si="10"/>
        <v>1766.0400000000002</v>
      </c>
      <c r="X77" s="263">
        <f t="shared" si="10"/>
        <v>1766.0400000000002</v>
      </c>
      <c r="Y77" s="263">
        <f t="shared" si="10"/>
        <v>1802.7400000000002</v>
      </c>
      <c r="Z77" s="263">
        <f t="shared" si="10"/>
        <v>1840.74</v>
      </c>
      <c r="AA77" s="263">
        <f t="shared" si="10"/>
        <v>1867.04</v>
      </c>
      <c r="AB77" s="263">
        <f t="shared" si="10"/>
        <v>1857.7399999999998</v>
      </c>
      <c r="AC77" s="263">
        <f t="shared" si="10"/>
        <v>1859.2399999999998</v>
      </c>
      <c r="AD77" s="263">
        <f t="shared" si="10"/>
        <v>1851.4399999999998</v>
      </c>
      <c r="AE77" s="263">
        <f t="shared" si="10"/>
        <v>1807.04</v>
      </c>
      <c r="AF77" s="263">
        <f t="shared" si="10"/>
        <v>1843.34</v>
      </c>
      <c r="AG77" s="242">
        <f>AG38+AG42+AG60+AG56+AG72+AG76</f>
        <v>1855.1900000000003</v>
      </c>
      <c r="AH77" s="226">
        <f t="shared" si="2"/>
        <v>1933.4400000000003</v>
      </c>
      <c r="AI77" s="227">
        <f t="shared" si="3"/>
        <v>1766.0400000000002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>
        <v>10</v>
      </c>
      <c r="P78" s="265">
        <v>5</v>
      </c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10</v>
      </c>
      <c r="AI78" s="227">
        <f t="shared" si="3"/>
        <v>5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1933.4400000000003</v>
      </c>
      <c r="C79" s="263">
        <f t="shared" ref="C79:AF79" si="11">C77+C78</f>
        <v>1819.24</v>
      </c>
      <c r="D79" s="263">
        <f t="shared" si="11"/>
        <v>1829.74</v>
      </c>
      <c r="E79" s="263">
        <f t="shared" si="11"/>
        <v>1834.34</v>
      </c>
      <c r="F79" s="263">
        <f t="shared" si="11"/>
        <v>1806.7399999999998</v>
      </c>
      <c r="G79" s="263">
        <f t="shared" si="11"/>
        <v>1816.24</v>
      </c>
      <c r="H79" s="263">
        <f t="shared" si="11"/>
        <v>1830.54</v>
      </c>
      <c r="I79" s="263">
        <f t="shared" si="11"/>
        <v>1822.3400000000001</v>
      </c>
      <c r="J79" s="263">
        <f t="shared" si="11"/>
        <v>1815.84</v>
      </c>
      <c r="K79" s="263">
        <f t="shared" si="11"/>
        <v>1874.4399999999998</v>
      </c>
      <c r="L79" s="263">
        <f t="shared" si="11"/>
        <v>1873.64</v>
      </c>
      <c r="M79" s="263">
        <f t="shared" si="11"/>
        <v>1891.2399999999998</v>
      </c>
      <c r="N79" s="263">
        <f t="shared" si="11"/>
        <v>1885.2400000000002</v>
      </c>
      <c r="O79" s="263">
        <f t="shared" si="11"/>
        <v>1823.44</v>
      </c>
      <c r="P79" s="263">
        <f t="shared" si="11"/>
        <v>1936.2400000000002</v>
      </c>
      <c r="Q79" s="263">
        <f t="shared" si="11"/>
        <v>1916.04</v>
      </c>
      <c r="R79" s="263">
        <f t="shared" si="11"/>
        <v>1885.3400000000001</v>
      </c>
      <c r="S79" s="263">
        <f t="shared" si="11"/>
        <v>1852.34</v>
      </c>
      <c r="T79" s="263">
        <f t="shared" si="11"/>
        <v>1846.74</v>
      </c>
      <c r="U79" s="263">
        <f t="shared" si="11"/>
        <v>1812.74</v>
      </c>
      <c r="V79" s="263">
        <f t="shared" si="11"/>
        <v>1767.54</v>
      </c>
      <c r="W79" s="263">
        <f t="shared" si="11"/>
        <v>1766.0400000000002</v>
      </c>
      <c r="X79" s="263">
        <f t="shared" si="11"/>
        <v>1766.0400000000002</v>
      </c>
      <c r="Y79" s="263">
        <f t="shared" si="11"/>
        <v>1802.7400000000002</v>
      </c>
      <c r="Z79" s="263">
        <f t="shared" si="11"/>
        <v>1840.74</v>
      </c>
      <c r="AA79" s="263">
        <f t="shared" si="11"/>
        <v>1867.04</v>
      </c>
      <c r="AB79" s="263">
        <f t="shared" si="11"/>
        <v>1857.7399999999998</v>
      </c>
      <c r="AC79" s="263">
        <f t="shared" si="11"/>
        <v>1859.2399999999998</v>
      </c>
      <c r="AD79" s="263">
        <f t="shared" si="11"/>
        <v>1851.4399999999998</v>
      </c>
      <c r="AE79" s="263">
        <f t="shared" si="11"/>
        <v>1807.04</v>
      </c>
      <c r="AF79" s="263">
        <f t="shared" si="11"/>
        <v>1843.34</v>
      </c>
      <c r="AG79" s="261">
        <f>AG76+AG72+AG60+AG56+AG38+AG78</f>
        <v>1317.0900000000001</v>
      </c>
      <c r="AH79" s="226">
        <f t="shared" si="2"/>
        <v>1936.2400000000002</v>
      </c>
      <c r="AI79" s="227">
        <f t="shared" si="3"/>
        <v>1766.0400000000002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>B79-B87</f>
        <v>1670.9400000000003</v>
      </c>
      <c r="C80" s="263">
        <f t="shared" ref="C80:AF80" si="12">C79-C87</f>
        <v>1589.24</v>
      </c>
      <c r="D80" s="263">
        <f t="shared" si="12"/>
        <v>1519.74</v>
      </c>
      <c r="E80" s="263">
        <f t="shared" si="12"/>
        <v>1545.34</v>
      </c>
      <c r="F80" s="263">
        <f t="shared" si="12"/>
        <v>1565.5399999999997</v>
      </c>
      <c r="G80" s="263">
        <f t="shared" si="12"/>
        <v>1582.84</v>
      </c>
      <c r="H80" s="263">
        <f t="shared" si="12"/>
        <v>1586.84</v>
      </c>
      <c r="I80" s="263">
        <f t="shared" si="12"/>
        <v>1561.44</v>
      </c>
      <c r="J80" s="263">
        <f t="shared" si="12"/>
        <v>1573.84</v>
      </c>
      <c r="K80" s="263">
        <f t="shared" si="12"/>
        <v>1592.8399999999997</v>
      </c>
      <c r="L80" s="263">
        <f t="shared" si="12"/>
        <v>1647.3400000000001</v>
      </c>
      <c r="M80" s="263">
        <f t="shared" si="12"/>
        <v>1647.8399999999997</v>
      </c>
      <c r="N80" s="263">
        <f t="shared" si="12"/>
        <v>1684.5400000000002</v>
      </c>
      <c r="O80" s="263">
        <f t="shared" si="12"/>
        <v>1598.44</v>
      </c>
      <c r="P80" s="263">
        <f t="shared" si="12"/>
        <v>1698.6400000000003</v>
      </c>
      <c r="Q80" s="263">
        <f t="shared" si="12"/>
        <v>1685.1399999999999</v>
      </c>
      <c r="R80" s="263">
        <f t="shared" si="12"/>
        <v>1666.5400000000002</v>
      </c>
      <c r="S80" s="263">
        <f t="shared" si="12"/>
        <v>1626.34</v>
      </c>
      <c r="T80" s="263">
        <f t="shared" si="12"/>
        <v>1596.74</v>
      </c>
      <c r="U80" s="263">
        <f t="shared" si="12"/>
        <v>1552.74</v>
      </c>
      <c r="V80" s="263">
        <f t="shared" si="12"/>
        <v>1532.54</v>
      </c>
      <c r="W80" s="263">
        <f t="shared" si="12"/>
        <v>1402.0400000000002</v>
      </c>
      <c r="X80" s="263">
        <f t="shared" si="12"/>
        <v>1478.0400000000002</v>
      </c>
      <c r="Y80" s="263">
        <f t="shared" si="12"/>
        <v>1528.7400000000002</v>
      </c>
      <c r="Z80" s="263">
        <f t="shared" si="12"/>
        <v>1620.74</v>
      </c>
      <c r="AA80" s="263">
        <f t="shared" si="12"/>
        <v>1692.04</v>
      </c>
      <c r="AB80" s="263">
        <f t="shared" si="12"/>
        <v>1654.7399999999998</v>
      </c>
      <c r="AC80" s="263">
        <f t="shared" si="12"/>
        <v>1661.2399999999998</v>
      </c>
      <c r="AD80" s="263">
        <f t="shared" si="12"/>
        <v>1587.4399999999998</v>
      </c>
      <c r="AE80" s="263">
        <f t="shared" si="12"/>
        <v>1530.04</v>
      </c>
      <c r="AF80" s="263">
        <f t="shared" si="12"/>
        <v>1506.34</v>
      </c>
      <c r="AG80" s="261"/>
      <c r="AH80" s="226">
        <f t="shared" ref="AH80:AH97" si="13">MAX(B80:AF80)</f>
        <v>1698.6400000000003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262.5</v>
      </c>
      <c r="C84" s="256">
        <f t="shared" ref="C84:AF84" si="18">IF(C63&lt;0,C63*-1,0)</f>
        <v>230</v>
      </c>
      <c r="D84" s="256">
        <f t="shared" si="18"/>
        <v>310</v>
      </c>
      <c r="E84" s="256">
        <f t="shared" si="18"/>
        <v>289</v>
      </c>
      <c r="F84" s="256">
        <f t="shared" si="18"/>
        <v>241.2</v>
      </c>
      <c r="G84" s="256">
        <f t="shared" si="18"/>
        <v>233.4</v>
      </c>
      <c r="H84" s="256">
        <f t="shared" si="18"/>
        <v>243.7</v>
      </c>
      <c r="I84" s="256">
        <f t="shared" si="18"/>
        <v>260.89999999999998</v>
      </c>
      <c r="J84" s="256">
        <f t="shared" si="18"/>
        <v>242</v>
      </c>
      <c r="K84" s="256">
        <f t="shared" si="18"/>
        <v>281.60000000000002</v>
      </c>
      <c r="L84" s="256">
        <f t="shared" si="18"/>
        <v>226.3</v>
      </c>
      <c r="M84" s="256">
        <f t="shared" si="18"/>
        <v>243.4</v>
      </c>
      <c r="N84" s="256">
        <f t="shared" si="18"/>
        <v>200.7</v>
      </c>
      <c r="O84" s="256">
        <f t="shared" si="18"/>
        <v>225</v>
      </c>
      <c r="P84" s="256">
        <f t="shared" si="18"/>
        <v>237.6</v>
      </c>
      <c r="Q84" s="256">
        <f t="shared" si="18"/>
        <v>230.9</v>
      </c>
      <c r="R84" s="256">
        <f t="shared" si="18"/>
        <v>218.8</v>
      </c>
      <c r="S84" s="256">
        <f t="shared" si="18"/>
        <v>226</v>
      </c>
      <c r="T84" s="256">
        <f t="shared" si="18"/>
        <v>250</v>
      </c>
      <c r="U84" s="256">
        <f t="shared" si="18"/>
        <v>260</v>
      </c>
      <c r="V84" s="256">
        <f t="shared" si="18"/>
        <v>235</v>
      </c>
      <c r="W84" s="256">
        <f t="shared" si="18"/>
        <v>364</v>
      </c>
      <c r="X84" s="256">
        <f t="shared" si="18"/>
        <v>288</v>
      </c>
      <c r="Y84" s="256">
        <f t="shared" si="18"/>
        <v>274</v>
      </c>
      <c r="Z84" s="256">
        <f t="shared" si="18"/>
        <v>220</v>
      </c>
      <c r="AA84" s="256">
        <f t="shared" si="18"/>
        <v>175</v>
      </c>
      <c r="AB84" s="256">
        <f t="shared" si="18"/>
        <v>203</v>
      </c>
      <c r="AC84" s="256">
        <f t="shared" si="18"/>
        <v>198</v>
      </c>
      <c r="AD84" s="256">
        <f t="shared" si="18"/>
        <v>264</v>
      </c>
      <c r="AE84" s="256">
        <f t="shared" si="18"/>
        <v>277</v>
      </c>
      <c r="AF84" s="256">
        <f t="shared" si="18"/>
        <v>337</v>
      </c>
      <c r="AG84" s="266"/>
      <c r="AH84" s="226">
        <f t="shared" si="13"/>
        <v>364</v>
      </c>
      <c r="AI84" s="227">
        <f t="shared" si="15"/>
        <v>175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>
        <v>0</v>
      </c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262.5</v>
      </c>
      <c r="C87" s="241">
        <f t="shared" ref="C87:AF87" si="20">SUM(C81:C86)</f>
        <v>230</v>
      </c>
      <c r="D87" s="241">
        <f t="shared" si="20"/>
        <v>310</v>
      </c>
      <c r="E87" s="241">
        <f t="shared" si="20"/>
        <v>289</v>
      </c>
      <c r="F87" s="241">
        <f t="shared" si="20"/>
        <v>241.2</v>
      </c>
      <c r="G87" s="241">
        <f t="shared" si="20"/>
        <v>233.4</v>
      </c>
      <c r="H87" s="241">
        <f t="shared" si="20"/>
        <v>243.7</v>
      </c>
      <c r="I87" s="241">
        <f t="shared" si="20"/>
        <v>260.89999999999998</v>
      </c>
      <c r="J87" s="241">
        <f t="shared" si="20"/>
        <v>242</v>
      </c>
      <c r="K87" s="241">
        <f t="shared" si="20"/>
        <v>281.60000000000002</v>
      </c>
      <c r="L87" s="241">
        <f t="shared" si="20"/>
        <v>226.3</v>
      </c>
      <c r="M87" s="241">
        <f t="shared" si="20"/>
        <v>243.4</v>
      </c>
      <c r="N87" s="241">
        <f t="shared" si="20"/>
        <v>200.7</v>
      </c>
      <c r="O87" s="241">
        <f t="shared" si="20"/>
        <v>225</v>
      </c>
      <c r="P87" s="241">
        <f t="shared" si="20"/>
        <v>237.6</v>
      </c>
      <c r="Q87" s="241">
        <f t="shared" si="20"/>
        <v>230.9</v>
      </c>
      <c r="R87" s="241">
        <f t="shared" si="20"/>
        <v>218.8</v>
      </c>
      <c r="S87" s="241">
        <f t="shared" si="20"/>
        <v>226</v>
      </c>
      <c r="T87" s="241">
        <f t="shared" si="20"/>
        <v>250</v>
      </c>
      <c r="U87" s="241">
        <f t="shared" si="20"/>
        <v>260</v>
      </c>
      <c r="V87" s="241">
        <f t="shared" si="20"/>
        <v>235</v>
      </c>
      <c r="W87" s="241">
        <f t="shared" si="20"/>
        <v>364</v>
      </c>
      <c r="X87" s="241">
        <f t="shared" si="20"/>
        <v>288</v>
      </c>
      <c r="Y87" s="241">
        <f t="shared" si="20"/>
        <v>274</v>
      </c>
      <c r="Z87" s="241">
        <f t="shared" si="20"/>
        <v>220</v>
      </c>
      <c r="AA87" s="241">
        <f t="shared" si="20"/>
        <v>175</v>
      </c>
      <c r="AB87" s="241">
        <f t="shared" si="20"/>
        <v>203</v>
      </c>
      <c r="AC87" s="241">
        <f t="shared" si="20"/>
        <v>198</v>
      </c>
      <c r="AD87" s="241">
        <f t="shared" si="20"/>
        <v>264</v>
      </c>
      <c r="AE87" s="241">
        <f t="shared" si="20"/>
        <v>277</v>
      </c>
      <c r="AF87" s="241">
        <f t="shared" si="20"/>
        <v>337</v>
      </c>
      <c r="AG87" s="261"/>
      <c r="AH87" s="226">
        <f t="shared" si="13"/>
        <v>364</v>
      </c>
      <c r="AI87" s="227">
        <f t="shared" si="15"/>
        <v>175</v>
      </c>
      <c r="AK87" s="228"/>
    </row>
    <row r="88" spans="1:88" s="175" customFormat="1" ht="15.75" thickBot="1" x14ac:dyDescent="0.3">
      <c r="A88" s="254" t="s">
        <v>93</v>
      </c>
      <c r="B88" s="241">
        <f>B72-B87</f>
        <v>-181.1</v>
      </c>
      <c r="C88" s="241">
        <f t="shared" ref="C88:AF88" si="21">C72-C87</f>
        <v>-149.80000000000001</v>
      </c>
      <c r="D88" s="241">
        <f t="shared" si="21"/>
        <v>-241.2</v>
      </c>
      <c r="E88" s="241">
        <f t="shared" si="21"/>
        <v>-218.8</v>
      </c>
      <c r="F88" s="241">
        <f t="shared" si="21"/>
        <v>-139.89999999999998</v>
      </c>
      <c r="G88" s="241">
        <f t="shared" si="21"/>
        <v>-144.19999999999999</v>
      </c>
      <c r="H88" s="241">
        <f t="shared" si="21"/>
        <v>-146.5</v>
      </c>
      <c r="I88" s="241">
        <f t="shared" si="21"/>
        <v>-177.99999999999997</v>
      </c>
      <c r="J88" s="241">
        <f t="shared" si="21"/>
        <v>-183.7</v>
      </c>
      <c r="K88" s="241">
        <f t="shared" si="21"/>
        <v>-233.00000000000003</v>
      </c>
      <c r="L88" s="241">
        <f t="shared" si="21"/>
        <v>-174.4</v>
      </c>
      <c r="M88" s="241">
        <f t="shared" si="21"/>
        <v>-188.10000000000002</v>
      </c>
      <c r="N88" s="241">
        <f t="shared" si="21"/>
        <v>-166.79999999999998</v>
      </c>
      <c r="O88" s="241">
        <f t="shared" si="21"/>
        <v>-208</v>
      </c>
      <c r="P88" s="241">
        <f t="shared" si="21"/>
        <v>-149.39999999999998</v>
      </c>
      <c r="Q88" s="241">
        <f t="shared" si="21"/>
        <v>-137.30000000000001</v>
      </c>
      <c r="R88" s="241">
        <f t="shared" si="21"/>
        <v>-156.20000000000002</v>
      </c>
      <c r="S88" s="241">
        <f t="shared" si="21"/>
        <v>-181</v>
      </c>
      <c r="T88" s="241">
        <f t="shared" si="21"/>
        <v>-203.5</v>
      </c>
      <c r="U88" s="241">
        <f t="shared" si="21"/>
        <v>-213.5</v>
      </c>
      <c r="V88" s="241">
        <f t="shared" si="21"/>
        <v>-218.5</v>
      </c>
      <c r="W88" s="241">
        <f t="shared" si="21"/>
        <v>-349.2</v>
      </c>
      <c r="X88" s="241">
        <f t="shared" si="21"/>
        <v>-273.2</v>
      </c>
      <c r="Y88" s="241">
        <f t="shared" si="21"/>
        <v>-222.5</v>
      </c>
      <c r="Z88" s="241">
        <f t="shared" si="21"/>
        <v>-169.3</v>
      </c>
      <c r="AA88" s="241">
        <f t="shared" si="21"/>
        <v>-109.5</v>
      </c>
      <c r="AB88" s="241">
        <f t="shared" si="21"/>
        <v>-142.4</v>
      </c>
      <c r="AC88" s="241">
        <f t="shared" si="21"/>
        <v>-128.9</v>
      </c>
      <c r="AD88" s="241">
        <f t="shared" si="21"/>
        <v>-202.7</v>
      </c>
      <c r="AE88" s="241">
        <f t="shared" si="21"/>
        <v>-208</v>
      </c>
      <c r="AF88" s="241">
        <f t="shared" si="21"/>
        <v>-306.7</v>
      </c>
      <c r="AG88" s="261"/>
      <c r="AH88" s="226">
        <f t="shared" si="13"/>
        <v>-109.5</v>
      </c>
      <c r="AI88" s="227">
        <f t="shared" si="15"/>
        <v>-349.2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50.01</v>
      </c>
      <c r="C89" s="269">
        <v>50.02</v>
      </c>
      <c r="D89" s="269">
        <v>50.03</v>
      </c>
      <c r="E89" s="269">
        <v>50.01</v>
      </c>
      <c r="F89" s="269">
        <v>50.021000000000001</v>
      </c>
      <c r="G89" s="269">
        <v>50.023000000000003</v>
      </c>
      <c r="H89" s="269">
        <v>50.033000000000001</v>
      </c>
      <c r="I89" s="269">
        <v>50.026000000000003</v>
      </c>
      <c r="J89" s="269">
        <v>50.021000000000001</v>
      </c>
      <c r="K89" s="269">
        <v>50.027999999999999</v>
      </c>
      <c r="L89" s="269">
        <v>50.034999999999997</v>
      </c>
      <c r="M89" s="269">
        <v>50.042000000000002</v>
      </c>
      <c r="N89" s="269">
        <v>50.012999999999998</v>
      </c>
      <c r="O89" s="269">
        <v>50.026000000000003</v>
      </c>
      <c r="P89" s="269">
        <v>50.045000000000002</v>
      </c>
      <c r="Q89" s="269">
        <v>50.146000000000001</v>
      </c>
      <c r="R89" s="269">
        <v>50.091999999999999</v>
      </c>
      <c r="S89" s="269">
        <v>50.1</v>
      </c>
      <c r="T89" s="269">
        <v>50.04</v>
      </c>
      <c r="U89" s="269">
        <v>49.96</v>
      </c>
      <c r="V89" s="269">
        <v>49.96</v>
      </c>
      <c r="W89" s="269">
        <v>50.07</v>
      </c>
      <c r="X89" s="269">
        <v>50.05</v>
      </c>
      <c r="Y89" s="269">
        <v>50.07</v>
      </c>
      <c r="Z89" s="269">
        <v>50.1</v>
      </c>
      <c r="AA89" s="269">
        <v>50.02</v>
      </c>
      <c r="AB89" s="269">
        <v>50.064</v>
      </c>
      <c r="AC89" s="269">
        <v>50.031999999999996</v>
      </c>
      <c r="AD89" s="269">
        <v>49.972999999999999</v>
      </c>
      <c r="AE89" s="269">
        <v>50.073999999999998</v>
      </c>
      <c r="AF89" s="269">
        <v>50.017000000000003</v>
      </c>
      <c r="AG89" s="270"/>
      <c r="AH89" s="226">
        <f t="shared" si="13"/>
        <v>50.146000000000001</v>
      </c>
      <c r="AI89" s="227">
        <f t="shared" si="15"/>
        <v>49.96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</v>
      </c>
      <c r="C90" s="245">
        <v>122</v>
      </c>
      <c r="D90" s="245">
        <v>123.5</v>
      </c>
      <c r="E90" s="245">
        <v>123.5</v>
      </c>
      <c r="F90" s="245">
        <v>121.8</v>
      </c>
      <c r="G90" s="245">
        <v>121.8</v>
      </c>
      <c r="H90" s="245">
        <v>121.8</v>
      </c>
      <c r="I90" s="245">
        <v>121.8</v>
      </c>
      <c r="J90" s="245">
        <v>122</v>
      </c>
      <c r="K90" s="245">
        <v>123.6</v>
      </c>
      <c r="L90" s="245">
        <v>122.4</v>
      </c>
      <c r="M90" s="245">
        <v>122.2</v>
      </c>
      <c r="N90" s="245">
        <v>121.5</v>
      </c>
      <c r="O90" s="245">
        <v>122.2</v>
      </c>
      <c r="P90" s="245">
        <v>121.7</v>
      </c>
      <c r="Q90" s="245">
        <v>121.6</v>
      </c>
      <c r="R90" s="245">
        <v>122.6</v>
      </c>
      <c r="S90" s="245">
        <v>123.1</v>
      </c>
      <c r="T90" s="245">
        <v>120.9</v>
      </c>
      <c r="U90" s="245">
        <v>122.55555555550001</v>
      </c>
      <c r="V90" s="245">
        <v>122.55555555550001</v>
      </c>
      <c r="W90" s="245">
        <v>125.9</v>
      </c>
      <c r="X90" s="245">
        <v>125.9</v>
      </c>
      <c r="Y90" s="245">
        <v>125</v>
      </c>
      <c r="Z90" s="245">
        <v>122.9</v>
      </c>
      <c r="AA90" s="245">
        <v>124.7</v>
      </c>
      <c r="AB90" s="245">
        <v>124.4</v>
      </c>
      <c r="AC90" s="245">
        <v>123.5</v>
      </c>
      <c r="AD90" s="245">
        <v>123.6</v>
      </c>
      <c r="AE90" s="245">
        <v>122.8</v>
      </c>
      <c r="AF90" s="245">
        <v>124</v>
      </c>
      <c r="AG90" s="272"/>
      <c r="AH90" s="226">
        <f t="shared" si="13"/>
        <v>125.9</v>
      </c>
      <c r="AI90" s="227">
        <f t="shared" si="15"/>
        <v>120.9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127.5</v>
      </c>
      <c r="C91" s="245">
        <v>127.1</v>
      </c>
      <c r="D91" s="245">
        <v>128</v>
      </c>
      <c r="E91" s="245">
        <v>128</v>
      </c>
      <c r="F91" s="245">
        <v>127.2</v>
      </c>
      <c r="G91" s="245">
        <v>127</v>
      </c>
      <c r="H91" s="245">
        <v>127</v>
      </c>
      <c r="I91" s="245">
        <v>127</v>
      </c>
      <c r="J91" s="245">
        <v>126.1</v>
      </c>
      <c r="K91" s="245">
        <v>127.6</v>
      </c>
      <c r="L91" s="245">
        <v>125.8</v>
      </c>
      <c r="M91" s="245">
        <v>126.1</v>
      </c>
      <c r="N91" s="245">
        <v>125.3</v>
      </c>
      <c r="O91" s="245">
        <v>125.8</v>
      </c>
      <c r="P91" s="245">
        <v>125.9</v>
      </c>
      <c r="Q91" s="245">
        <v>125.1</v>
      </c>
      <c r="R91" s="245">
        <v>126.1</v>
      </c>
      <c r="S91" s="245">
        <v>127.2</v>
      </c>
      <c r="T91" s="245">
        <v>124.2</v>
      </c>
      <c r="U91" s="245">
        <v>122.9</v>
      </c>
      <c r="V91" s="245">
        <v>123.9</v>
      </c>
      <c r="W91" s="245">
        <v>123.9</v>
      </c>
      <c r="X91" s="245">
        <v>128</v>
      </c>
      <c r="Y91" s="245">
        <v>128</v>
      </c>
      <c r="Z91" s="245">
        <v>126.7</v>
      </c>
      <c r="AA91" s="245">
        <v>128.5</v>
      </c>
      <c r="AB91" s="245">
        <v>128.19999999999999</v>
      </c>
      <c r="AC91" s="245">
        <v>127.8</v>
      </c>
      <c r="AD91" s="245">
        <v>127.9</v>
      </c>
      <c r="AE91" s="245">
        <v>127.7</v>
      </c>
      <c r="AF91" s="245">
        <v>128.30000000000001</v>
      </c>
      <c r="AG91" s="272"/>
      <c r="AH91" s="226">
        <f t="shared" si="13"/>
        <v>128.5</v>
      </c>
      <c r="AI91" s="227">
        <f t="shared" si="15"/>
        <v>122.9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129.1</v>
      </c>
      <c r="C92" s="245">
        <v>127.7</v>
      </c>
      <c r="D92" s="245">
        <v>129.6</v>
      </c>
      <c r="E92" s="245">
        <v>129.6</v>
      </c>
      <c r="F92" s="245">
        <v>130.9</v>
      </c>
      <c r="G92" s="245">
        <v>129.4</v>
      </c>
      <c r="H92" s="245">
        <v>129.4</v>
      </c>
      <c r="I92" s="245">
        <v>129.4</v>
      </c>
      <c r="J92" s="245">
        <v>129.5</v>
      </c>
      <c r="K92" s="245">
        <v>130.4</v>
      </c>
      <c r="L92" s="245">
        <v>126.3</v>
      </c>
      <c r="M92" s="245">
        <v>128.30000000000001</v>
      </c>
      <c r="N92" s="245">
        <v>129</v>
      </c>
      <c r="O92" s="245">
        <v>129.19999999999999</v>
      </c>
      <c r="P92" s="245">
        <v>128.69999999999999</v>
      </c>
      <c r="Q92" s="245">
        <v>130.80000000000001</v>
      </c>
      <c r="R92" s="245">
        <v>130.6</v>
      </c>
      <c r="S92" s="245">
        <v>128.30000000000001</v>
      </c>
      <c r="T92" s="245">
        <v>129.1</v>
      </c>
      <c r="U92" s="245">
        <v>129.80000000000001</v>
      </c>
      <c r="V92" s="245">
        <v>129.80000000000001</v>
      </c>
      <c r="W92" s="245">
        <v>129.80000000000001</v>
      </c>
      <c r="X92" s="245">
        <v>129.80000000000001</v>
      </c>
      <c r="Y92" s="245">
        <v>130</v>
      </c>
      <c r="Z92" s="245">
        <v>129.1</v>
      </c>
      <c r="AA92" s="245">
        <v>129.19999999999999</v>
      </c>
      <c r="AB92" s="245">
        <v>128</v>
      </c>
      <c r="AC92" s="245">
        <v>128.4</v>
      </c>
      <c r="AD92" s="245">
        <v>127.7</v>
      </c>
      <c r="AE92" s="245">
        <v>128.69999999999999</v>
      </c>
      <c r="AF92" s="245">
        <v>129.5</v>
      </c>
      <c r="AG92" s="272"/>
      <c r="AH92" s="226">
        <f t="shared" si="13"/>
        <v>130.9</v>
      </c>
      <c r="AI92" s="227">
        <f t="shared" si="15"/>
        <v>126.3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0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134</v>
      </c>
      <c r="C94" s="274">
        <v>129.9</v>
      </c>
      <c r="D94" s="274">
        <v>130.19999999999999</v>
      </c>
      <c r="E94" s="274">
        <v>130.19999999999999</v>
      </c>
      <c r="F94" s="274">
        <v>133.1</v>
      </c>
      <c r="G94" s="274">
        <v>135.19999999999999</v>
      </c>
      <c r="H94" s="274">
        <v>135.19999999999999</v>
      </c>
      <c r="I94" s="274">
        <v>135.19999999999999</v>
      </c>
      <c r="J94" s="274">
        <v>129.9</v>
      </c>
      <c r="K94" s="274">
        <v>132.9</v>
      </c>
      <c r="L94" s="274">
        <v>131.4</v>
      </c>
      <c r="M94" s="274">
        <v>132.19999999999999</v>
      </c>
      <c r="N94" s="274">
        <v>129.69999999999999</v>
      </c>
      <c r="O94" s="274">
        <v>134.1</v>
      </c>
      <c r="P94" s="274">
        <v>132.80000000000001</v>
      </c>
      <c r="Q94" s="274">
        <v>132.1</v>
      </c>
      <c r="R94" s="274">
        <v>134</v>
      </c>
      <c r="S94" s="274">
        <v>132.69999999999999</v>
      </c>
      <c r="T94" s="274">
        <v>127.9</v>
      </c>
      <c r="U94" s="274">
        <v>136.4</v>
      </c>
      <c r="V94" s="274">
        <v>136.4</v>
      </c>
      <c r="W94" s="274">
        <v>136.6</v>
      </c>
      <c r="X94" s="274">
        <v>134</v>
      </c>
      <c r="Y94" s="274">
        <v>135</v>
      </c>
      <c r="Z94" s="274">
        <v>131.9</v>
      </c>
      <c r="AA94" s="274">
        <v>133.30000000000001</v>
      </c>
      <c r="AB94" s="274">
        <v>132.1</v>
      </c>
      <c r="AC94" s="274">
        <v>131.9</v>
      </c>
      <c r="AD94" s="274">
        <v>134.80000000000001</v>
      </c>
      <c r="AE94" s="274">
        <v>130.19999999999999</v>
      </c>
      <c r="AF94" s="274">
        <v>132.6</v>
      </c>
      <c r="AG94" s="275"/>
      <c r="AH94" s="226">
        <f t="shared" si="13"/>
        <v>136.6</v>
      </c>
      <c r="AI94" s="227">
        <f t="shared" si="15"/>
        <v>127.9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26.3</v>
      </c>
      <c r="C95" s="245">
        <v>129.4</v>
      </c>
      <c r="D95" s="245">
        <v>130.4</v>
      </c>
      <c r="E95" s="245">
        <v>130.4</v>
      </c>
      <c r="F95" s="245">
        <v>128.80000000000001</v>
      </c>
      <c r="G95" s="245">
        <v>128.80000000000001</v>
      </c>
      <c r="H95" s="245">
        <v>128.80000000000001</v>
      </c>
      <c r="I95" s="245">
        <v>128.80000000000001</v>
      </c>
      <c r="J95" s="245">
        <v>126.1</v>
      </c>
      <c r="K95" s="245">
        <v>129.4</v>
      </c>
      <c r="L95" s="245">
        <v>127.5</v>
      </c>
      <c r="M95" s="245">
        <v>127.5</v>
      </c>
      <c r="N95" s="245">
        <v>130</v>
      </c>
      <c r="O95" s="245">
        <v>132.19999999999999</v>
      </c>
      <c r="P95" s="245">
        <v>130.9</v>
      </c>
      <c r="Q95" s="245">
        <v>127.9</v>
      </c>
      <c r="R95" s="245">
        <v>126.7</v>
      </c>
      <c r="S95" s="245">
        <v>126.4</v>
      </c>
      <c r="T95" s="245">
        <v>129</v>
      </c>
      <c r="U95" s="245">
        <v>130</v>
      </c>
      <c r="V95" s="245">
        <v>130</v>
      </c>
      <c r="W95" s="245">
        <v>135.80000000000001</v>
      </c>
      <c r="X95" s="245">
        <v>135.80000000000001</v>
      </c>
      <c r="Y95" s="245">
        <v>135.80000000000001</v>
      </c>
      <c r="Z95" s="245">
        <v>135.4</v>
      </c>
      <c r="AA95" s="245">
        <v>129.30000000000001</v>
      </c>
      <c r="AB95" s="245">
        <v>125.1</v>
      </c>
      <c r="AC95" s="245">
        <v>125.2</v>
      </c>
      <c r="AD95" s="245">
        <v>133.5</v>
      </c>
      <c r="AE95" s="245">
        <v>124.1</v>
      </c>
      <c r="AF95" s="245">
        <v>125.7</v>
      </c>
      <c r="AG95" s="272"/>
      <c r="AH95" s="226">
        <f t="shared" si="13"/>
        <v>135.80000000000001</v>
      </c>
      <c r="AI95" s="227">
        <f t="shared" si="15"/>
        <v>26.3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64.8</v>
      </c>
      <c r="C96" s="276">
        <v>64.599999999999994</v>
      </c>
      <c r="D96" s="276">
        <v>65.099999999999994</v>
      </c>
      <c r="E96" s="276">
        <v>65.099999999999994</v>
      </c>
      <c r="F96" s="276">
        <v>64.3</v>
      </c>
      <c r="G96" s="276">
        <v>64.7</v>
      </c>
      <c r="H96" s="276">
        <v>64.7</v>
      </c>
      <c r="I96" s="276">
        <v>64.7</v>
      </c>
      <c r="J96" s="276">
        <v>63.8</v>
      </c>
      <c r="K96" s="276">
        <v>64.8</v>
      </c>
      <c r="L96" s="276">
        <v>64.099999999999994</v>
      </c>
      <c r="M96" s="276">
        <v>64</v>
      </c>
      <c r="N96" s="276">
        <v>63.4</v>
      </c>
      <c r="O96" s="276">
        <v>63.3</v>
      </c>
      <c r="P96" s="276">
        <v>63.6</v>
      </c>
      <c r="Q96" s="276">
        <v>63.3</v>
      </c>
      <c r="R96" s="276">
        <v>63.7</v>
      </c>
      <c r="S96" s="276">
        <v>64</v>
      </c>
      <c r="T96" s="276">
        <v>62.5</v>
      </c>
      <c r="U96" s="276">
        <v>63.2</v>
      </c>
      <c r="V96" s="276">
        <v>63.2</v>
      </c>
      <c r="W96" s="276">
        <v>64.8</v>
      </c>
      <c r="X96" s="276">
        <v>64.8</v>
      </c>
      <c r="Y96" s="276">
        <v>65</v>
      </c>
      <c r="Z96" s="276">
        <v>64</v>
      </c>
      <c r="AA96" s="276">
        <v>65</v>
      </c>
      <c r="AB96" s="276">
        <v>64.900000000000006</v>
      </c>
      <c r="AC96" s="276">
        <v>64.8</v>
      </c>
      <c r="AD96" s="276">
        <v>65</v>
      </c>
      <c r="AE96" s="276">
        <v>65</v>
      </c>
      <c r="AF96" s="276">
        <v>65</v>
      </c>
      <c r="AG96" s="277"/>
      <c r="AH96" s="226">
        <f t="shared" si="13"/>
        <v>65.099999999999994</v>
      </c>
      <c r="AI96" s="227">
        <f t="shared" si="15"/>
        <v>62.5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>SUM(B15,B18,B21:B22,B46,B48:B49,B51,B53,B99:B102,B124,B130,B136,B145,B147,B159,B166,B169:B170,B177,B179,B181,B185:B187,B189:B191,B196,B202:B203,B205:B207,B215,B220)</f>
        <v>93.40000000000002</v>
      </c>
      <c r="C98" s="280">
        <f t="shared" ref="C98:AF98" si="22">SUM(C15,C18,C21:C22,C46,C48:C49,C51,C53,C99:C102,C124,C130,C136,C145,C147,C159,C166,C169:C170,C177,C179,C181,C185:C187,C189:C191,C196,C202:C203,C205:C207,C215,C220)</f>
        <v>51.139999999999986</v>
      </c>
      <c r="D98" s="280">
        <f t="shared" si="22"/>
        <v>95.039999999999992</v>
      </c>
      <c r="E98" s="280">
        <f t="shared" si="22"/>
        <v>95.039999999999992</v>
      </c>
      <c r="F98" s="280">
        <f t="shared" si="22"/>
        <v>94.440000000000012</v>
      </c>
      <c r="G98" s="280">
        <f t="shared" si="22"/>
        <v>74.739999999999981</v>
      </c>
      <c r="H98" s="280">
        <f t="shared" si="22"/>
        <v>91.139999999999972</v>
      </c>
      <c r="I98" s="280">
        <f t="shared" si="22"/>
        <v>108.53999999999999</v>
      </c>
      <c r="J98" s="280">
        <f t="shared" si="22"/>
        <v>148.13999999999999</v>
      </c>
      <c r="K98" s="280">
        <f t="shared" si="22"/>
        <v>151.64000000000004</v>
      </c>
      <c r="L98" s="280">
        <f t="shared" si="22"/>
        <v>179.74</v>
      </c>
      <c r="M98" s="280">
        <f t="shared" si="22"/>
        <v>194.84000000000003</v>
      </c>
      <c r="N98" s="280">
        <f t="shared" si="22"/>
        <v>216.54000000000002</v>
      </c>
      <c r="O98" s="280">
        <f t="shared" si="22"/>
        <v>157.34000000000003</v>
      </c>
      <c r="P98" s="280">
        <f t="shared" si="22"/>
        <v>185.14</v>
      </c>
      <c r="Q98" s="280">
        <f t="shared" si="22"/>
        <v>194.3</v>
      </c>
      <c r="R98" s="280">
        <f t="shared" si="22"/>
        <v>200.90000000000003</v>
      </c>
      <c r="S98" s="280">
        <f t="shared" si="22"/>
        <v>177.3</v>
      </c>
      <c r="T98" s="280">
        <f t="shared" si="22"/>
        <v>192.20000000000005</v>
      </c>
      <c r="U98" s="280">
        <f t="shared" si="22"/>
        <v>175</v>
      </c>
      <c r="V98" s="280">
        <f t="shared" si="22"/>
        <v>208.8</v>
      </c>
      <c r="W98" s="280">
        <f t="shared" si="22"/>
        <v>148.20000000000002</v>
      </c>
      <c r="X98" s="280">
        <f t="shared" si="22"/>
        <v>117.20000000000002</v>
      </c>
      <c r="Y98" s="280">
        <f t="shared" si="22"/>
        <v>191.9</v>
      </c>
      <c r="Z98" s="280">
        <f t="shared" si="22"/>
        <v>238.8</v>
      </c>
      <c r="AA98" s="280">
        <f t="shared" si="22"/>
        <v>233.4</v>
      </c>
      <c r="AB98" s="280">
        <f t="shared" si="22"/>
        <v>197.5</v>
      </c>
      <c r="AC98" s="280">
        <f t="shared" si="22"/>
        <v>180.60000000000002</v>
      </c>
      <c r="AD98" s="280">
        <f t="shared" si="22"/>
        <v>136.70000000000002</v>
      </c>
      <c r="AE98" s="280">
        <f t="shared" si="22"/>
        <v>89.200000000000017</v>
      </c>
      <c r="AF98" s="280">
        <f t="shared" si="22"/>
        <v>66</v>
      </c>
      <c r="AG98" s="281"/>
      <c r="AH98" s="226">
        <f>MAX(C98:AF98)</f>
        <v>238.8</v>
      </c>
      <c r="AI98" s="227">
        <f>MIN(C98:AF98)</f>
        <v>51.139999999999986</v>
      </c>
    </row>
    <row r="99" spans="1:37" x14ac:dyDescent="0.25">
      <c r="A99" s="268" t="s">
        <v>103</v>
      </c>
      <c r="B99" s="282">
        <f>29.9+12.6</f>
        <v>42.5</v>
      </c>
      <c r="C99" s="282">
        <f>14.3+1.7</f>
        <v>16</v>
      </c>
      <c r="D99" s="282">
        <f>46.3+26</f>
        <v>72.3</v>
      </c>
      <c r="E99" s="282">
        <f>46.3+26</f>
        <v>72.3</v>
      </c>
      <c r="F99" s="282">
        <v>15.4</v>
      </c>
      <c r="G99" s="282">
        <v>14</v>
      </c>
      <c r="H99" s="282">
        <v>15.1</v>
      </c>
      <c r="I99" s="282">
        <v>19.899999999999999</v>
      </c>
      <c r="J99" s="282">
        <v>13.9</v>
      </c>
      <c r="K99" s="282">
        <v>26.4</v>
      </c>
      <c r="L99" s="282">
        <v>22.9</v>
      </c>
      <c r="M99" s="282">
        <v>20.9</v>
      </c>
      <c r="N99" s="282">
        <v>11.4</v>
      </c>
      <c r="O99" s="282">
        <v>28.3</v>
      </c>
      <c r="P99" s="282">
        <v>28.2</v>
      </c>
      <c r="Q99" s="282">
        <v>25.2</v>
      </c>
      <c r="R99" s="282">
        <v>21.6</v>
      </c>
      <c r="S99" s="282">
        <v>30.5</v>
      </c>
      <c r="T99" s="282">
        <v>36.1</v>
      </c>
      <c r="U99" s="282">
        <v>38</v>
      </c>
      <c r="V99" s="282">
        <v>27</v>
      </c>
      <c r="W99" s="282">
        <v>37.1</v>
      </c>
      <c r="X99" s="282">
        <v>40</v>
      </c>
      <c r="Y99" s="282">
        <v>43.1</v>
      </c>
      <c r="Z99" s="282">
        <v>41.3</v>
      </c>
      <c r="AA99" s="282">
        <v>36</v>
      </c>
      <c r="AB99" s="282">
        <v>36.799999999999997</v>
      </c>
      <c r="AC99" s="282">
        <v>35.4</v>
      </c>
      <c r="AD99" s="282">
        <v>39.6</v>
      </c>
      <c r="AE99" s="282">
        <v>21.8</v>
      </c>
      <c r="AF99" s="282">
        <v>17</v>
      </c>
      <c r="AG99" s="283">
        <v>75</v>
      </c>
      <c r="AH99" s="226">
        <f t="shared" ref="AH99:AH106" si="23">IF(ABS(MAX(C99:AF99))&gt;ABS(MIN(C99:AF99)),MAX(C99:AF99),MIN(C99:AF99))</f>
        <v>72.3</v>
      </c>
      <c r="AI99" s="284">
        <f t="shared" ref="AI99:AI106" si="24">INDEX($C$9:$AF$9,1,MATCH(AH99,C99:AF99,0))</f>
        <v>8.3333333333333301E-2</v>
      </c>
    </row>
    <row r="100" spans="1:37" x14ac:dyDescent="0.25">
      <c r="A100" s="271" t="s">
        <v>104</v>
      </c>
      <c r="B100" s="285">
        <f>-64-72.8</f>
        <v>-136.80000000000001</v>
      </c>
      <c r="C100" s="285">
        <f>-60.5-66.6</f>
        <v>-127.1</v>
      </c>
      <c r="D100" s="285">
        <f>-66.4-75.2</f>
        <v>-141.60000000000002</v>
      </c>
      <c r="E100" s="285">
        <f>-66.4-75.2</f>
        <v>-141.60000000000002</v>
      </c>
      <c r="F100" s="285">
        <v>-107</v>
      </c>
      <c r="G100" s="285">
        <v>-106</v>
      </c>
      <c r="H100" s="285">
        <v>-93</v>
      </c>
      <c r="I100" s="285">
        <v>-83</v>
      </c>
      <c r="J100" s="285">
        <v>-108</v>
      </c>
      <c r="K100" s="285">
        <v>-108</v>
      </c>
      <c r="L100" s="285">
        <v>-97.3</v>
      </c>
      <c r="M100" s="285">
        <v>-86</v>
      </c>
      <c r="N100" s="285">
        <v>-76</v>
      </c>
      <c r="O100" s="285">
        <v>-76.2</v>
      </c>
      <c r="P100" s="285">
        <v>-25.5</v>
      </c>
      <c r="Q100" s="285">
        <v>-75.099999999999994</v>
      </c>
      <c r="R100" s="285">
        <v>-86.1</v>
      </c>
      <c r="S100" s="285">
        <f>-21.2-22.5</f>
        <v>-43.7</v>
      </c>
      <c r="T100" s="285">
        <f>-47.9-51.3</f>
        <v>-99.199999999999989</v>
      </c>
      <c r="U100" s="285">
        <f>-51.7-50.1</f>
        <v>-101.80000000000001</v>
      </c>
      <c r="V100" s="285">
        <v>-83</v>
      </c>
      <c r="W100" s="285">
        <f>-55.9-56.4</f>
        <v>-112.3</v>
      </c>
      <c r="X100" s="285">
        <f>-55.9-56.4</f>
        <v>-112.3</v>
      </c>
      <c r="Y100" s="285">
        <f>-29.7-31.9</f>
        <v>-61.599999999999994</v>
      </c>
      <c r="Z100" s="285">
        <f>-23.1-26</f>
        <v>-49.1</v>
      </c>
      <c r="AA100" s="285">
        <f>-27.5-25.2</f>
        <v>-52.7</v>
      </c>
      <c r="AB100" s="285">
        <f>-23.3-27.7</f>
        <v>-51</v>
      </c>
      <c r="AC100" s="285">
        <f>-26.2-30.1</f>
        <v>-56.3</v>
      </c>
      <c r="AD100" s="285">
        <f>-37.1-41.8</f>
        <v>-78.900000000000006</v>
      </c>
      <c r="AE100" s="285">
        <f>-54-58</f>
        <v>-112</v>
      </c>
      <c r="AF100" s="285">
        <f>-61.4-67</f>
        <v>-128.4</v>
      </c>
      <c r="AG100" s="283">
        <v>240</v>
      </c>
      <c r="AH100" s="226">
        <f t="shared" si="23"/>
        <v>-141.60000000000002</v>
      </c>
      <c r="AI100" s="284">
        <f t="shared" si="24"/>
        <v>8.3333333333333301E-2</v>
      </c>
    </row>
    <row r="101" spans="1:37" x14ac:dyDescent="0.25">
      <c r="A101" s="271" t="s">
        <v>105</v>
      </c>
      <c r="B101" s="285">
        <v>8.6999999999999993</v>
      </c>
      <c r="C101" s="285">
        <v>11.5</v>
      </c>
      <c r="D101" s="285">
        <v>-5.4</v>
      </c>
      <c r="E101" s="285">
        <v>-5.4</v>
      </c>
      <c r="F101" s="285">
        <v>16.3</v>
      </c>
      <c r="G101" s="285">
        <v>-2</v>
      </c>
      <c r="H101" s="285">
        <v>0.3</v>
      </c>
      <c r="I101" s="285">
        <v>2.9</v>
      </c>
      <c r="J101" s="285">
        <v>9.5</v>
      </c>
      <c r="K101" s="285">
        <v>11.4</v>
      </c>
      <c r="L101" s="285">
        <v>12.6</v>
      </c>
      <c r="M101" s="285">
        <v>19.5</v>
      </c>
      <c r="N101" s="285">
        <v>25.7</v>
      </c>
      <c r="O101" s="285">
        <v>30.7</v>
      </c>
      <c r="P101" s="285">
        <v>38.299999999999997</v>
      </c>
      <c r="Q101" s="285">
        <v>27</v>
      </c>
      <c r="R101" s="285">
        <v>8.3000000000000007</v>
      </c>
      <c r="S101" s="285">
        <v>14</v>
      </c>
      <c r="T101" s="285">
        <v>29.3</v>
      </c>
      <c r="U101" s="285">
        <v>29.1</v>
      </c>
      <c r="V101" s="285">
        <v>29</v>
      </c>
      <c r="W101" s="285">
        <v>28.8</v>
      </c>
      <c r="X101" s="285">
        <v>10.8</v>
      </c>
      <c r="Y101" s="285">
        <v>13.7</v>
      </c>
      <c r="Z101" s="285">
        <v>12.3</v>
      </c>
      <c r="AA101" s="285">
        <v>20</v>
      </c>
      <c r="AB101" s="285">
        <v>8.9</v>
      </c>
      <c r="AC101" s="285">
        <v>7.8</v>
      </c>
      <c r="AD101" s="285">
        <v>7.5</v>
      </c>
      <c r="AE101" s="285">
        <v>1</v>
      </c>
      <c r="AF101" s="285">
        <v>0</v>
      </c>
      <c r="AG101" s="283">
        <v>60</v>
      </c>
      <c r="AH101" s="226">
        <f t="shared" si="23"/>
        <v>38.299999999999997</v>
      </c>
      <c r="AI101" s="284">
        <f t="shared" si="24"/>
        <v>0.45833333333333298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64</v>
      </c>
      <c r="K102" s="287">
        <v>53.8</v>
      </c>
      <c r="L102" s="287">
        <v>73.5</v>
      </c>
      <c r="M102" s="287">
        <v>68.400000000000006</v>
      </c>
      <c r="N102" s="287">
        <v>83.4</v>
      </c>
      <c r="O102" s="287"/>
      <c r="P102" s="287">
        <v>0</v>
      </c>
      <c r="Q102" s="287">
        <v>73.900000000000006</v>
      </c>
      <c r="R102" s="287">
        <v>81</v>
      </c>
      <c r="S102" s="287">
        <v>0</v>
      </c>
      <c r="T102" s="287">
        <v>49.5</v>
      </c>
      <c r="U102" s="287">
        <v>53.2</v>
      </c>
      <c r="V102" s="287">
        <v>69.3</v>
      </c>
      <c r="W102" s="287">
        <v>37.9</v>
      </c>
      <c r="X102" s="287">
        <v>22</v>
      </c>
      <c r="Y102" s="287">
        <v>40</v>
      </c>
      <c r="Z102" s="287">
        <v>57.8</v>
      </c>
      <c r="AA102" s="287">
        <v>53.6</v>
      </c>
      <c r="AB102" s="287">
        <v>34.299999999999997</v>
      </c>
      <c r="AC102" s="287">
        <v>25.2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83.4</v>
      </c>
      <c r="AI102" s="284">
        <f t="shared" si="24"/>
        <v>0.375</v>
      </c>
    </row>
    <row r="103" spans="1:37" x14ac:dyDescent="0.25">
      <c r="A103" s="286" t="s">
        <v>107</v>
      </c>
      <c r="B103" s="287">
        <v>41.9</v>
      </c>
      <c r="C103" s="287">
        <v>64.5</v>
      </c>
      <c r="D103" s="287">
        <v>22</v>
      </c>
      <c r="E103" s="287">
        <v>22</v>
      </c>
      <c r="F103" s="287">
        <v>83.1</v>
      </c>
      <c r="G103" s="287">
        <v>70.400000000000006</v>
      </c>
      <c r="H103" s="287">
        <v>84.4</v>
      </c>
      <c r="I103" s="287">
        <v>86.2</v>
      </c>
      <c r="J103" s="287">
        <v>61.5</v>
      </c>
      <c r="K103" s="287">
        <v>49.7</v>
      </c>
      <c r="L103" s="287">
        <v>65.2</v>
      </c>
      <c r="M103" s="287">
        <v>62</v>
      </c>
      <c r="N103" s="287">
        <v>79.3</v>
      </c>
      <c r="O103" s="287"/>
      <c r="P103" s="287">
        <v>95.5</v>
      </c>
      <c r="Q103" s="287">
        <v>72.2</v>
      </c>
      <c r="R103" s="287">
        <v>72.7</v>
      </c>
      <c r="S103" s="287">
        <v>96</v>
      </c>
      <c r="T103" s="287">
        <v>55.4</v>
      </c>
      <c r="U103" s="287">
        <v>56.9</v>
      </c>
      <c r="V103" s="287">
        <v>64.400000000000006</v>
      </c>
      <c r="W103" s="287">
        <v>30.9</v>
      </c>
      <c r="X103" s="287">
        <v>30.9</v>
      </c>
      <c r="Y103" s="287">
        <v>60.4</v>
      </c>
      <c r="Z103" s="287">
        <v>88.2</v>
      </c>
      <c r="AA103" s="287">
        <v>85.9</v>
      </c>
      <c r="AB103" s="287">
        <v>78</v>
      </c>
      <c r="AC103" s="287">
        <v>86.4</v>
      </c>
      <c r="AD103" s="287">
        <v>61</v>
      </c>
      <c r="AE103" s="287">
        <v>65</v>
      </c>
      <c r="AF103" s="287">
        <v>33</v>
      </c>
      <c r="AG103" s="288"/>
      <c r="AH103" s="226">
        <f t="shared" si="23"/>
        <v>96</v>
      </c>
      <c r="AI103" s="284">
        <f t="shared" si="24"/>
        <v>0.58333333333333304</v>
      </c>
    </row>
    <row r="104" spans="1:37" x14ac:dyDescent="0.25">
      <c r="A104" s="286" t="s">
        <v>108</v>
      </c>
      <c r="B104" s="287">
        <v>58.9</v>
      </c>
      <c r="C104" s="287">
        <v>86</v>
      </c>
      <c r="D104" s="287">
        <v>40</v>
      </c>
      <c r="E104" s="287">
        <v>40</v>
      </c>
      <c r="F104" s="287">
        <v>60.5</v>
      </c>
      <c r="G104" s="287">
        <v>68</v>
      </c>
      <c r="H104" s="287">
        <v>52.3</v>
      </c>
      <c r="I104" s="287">
        <v>51.2</v>
      </c>
      <c r="J104" s="287">
        <v>57.9</v>
      </c>
      <c r="K104" s="287">
        <v>10.7</v>
      </c>
      <c r="L104" s="287">
        <v>26.6</v>
      </c>
      <c r="M104" s="287">
        <v>25.7</v>
      </c>
      <c r="N104" s="287">
        <v>60.6</v>
      </c>
      <c r="O104" s="287"/>
      <c r="P104" s="287">
        <v>11.6</v>
      </c>
      <c r="Q104" s="287">
        <v>11.9</v>
      </c>
      <c r="R104" s="287">
        <v>30.5</v>
      </c>
      <c r="S104" s="287">
        <v>37</v>
      </c>
      <c r="T104" s="287">
        <v>0</v>
      </c>
      <c r="U104" s="287">
        <v>-20.5</v>
      </c>
      <c r="V104" s="287">
        <v>33.5</v>
      </c>
      <c r="W104" s="287">
        <v>-21.5</v>
      </c>
      <c r="X104" s="287">
        <v>-21.5</v>
      </c>
      <c r="Y104" s="287">
        <v>-25.2</v>
      </c>
      <c r="Z104" s="287">
        <v>-8.6</v>
      </c>
      <c r="AA104" s="287">
        <v>14.4</v>
      </c>
      <c r="AB104" s="287">
        <v>3.3</v>
      </c>
      <c r="AC104" s="287">
        <v>5.9</v>
      </c>
      <c r="AD104" s="287">
        <v>-13.7</v>
      </c>
      <c r="AE104" s="287">
        <v>45.3</v>
      </c>
      <c r="AF104" s="287">
        <v>39.200000000000003</v>
      </c>
      <c r="AG104" s="289"/>
      <c r="AH104" s="226">
        <f t="shared" si="23"/>
        <v>86</v>
      </c>
      <c r="AI104" s="284">
        <f t="shared" si="24"/>
        <v>4.1666666666666664E-2</v>
      </c>
    </row>
    <row r="105" spans="1:37" x14ac:dyDescent="0.25">
      <c r="A105" s="290" t="s">
        <v>109</v>
      </c>
      <c r="B105" s="274">
        <v>78.7</v>
      </c>
      <c r="C105" s="274">
        <v>75.099999999999994</v>
      </c>
      <c r="D105" s="274">
        <v>77.099999999999994</v>
      </c>
      <c r="E105" s="274">
        <v>77.099999999999994</v>
      </c>
      <c r="F105" s="274">
        <v>81.5</v>
      </c>
      <c r="G105" s="274">
        <v>95.6</v>
      </c>
      <c r="H105" s="274">
        <v>97</v>
      </c>
      <c r="I105" s="274">
        <v>95.5</v>
      </c>
      <c r="J105" s="274">
        <v>84.9</v>
      </c>
      <c r="K105" s="274">
        <v>91.2</v>
      </c>
      <c r="L105" s="274">
        <v>89.4</v>
      </c>
      <c r="M105" s="274">
        <v>89.1</v>
      </c>
      <c r="N105" s="274">
        <v>88.9</v>
      </c>
      <c r="O105" s="274"/>
      <c r="P105" s="274">
        <v>96</v>
      </c>
      <c r="Q105" s="274">
        <v>90.1</v>
      </c>
      <c r="R105" s="274">
        <v>88.8</v>
      </c>
      <c r="S105" s="274">
        <v>85.5</v>
      </c>
      <c r="T105" s="274">
        <v>91.3</v>
      </c>
      <c r="U105" s="274">
        <v>101.7</v>
      </c>
      <c r="V105" s="274">
        <v>88.3</v>
      </c>
      <c r="W105" s="274">
        <v>93.1</v>
      </c>
      <c r="X105" s="274">
        <v>93.1</v>
      </c>
      <c r="Y105" s="274">
        <v>90.8</v>
      </c>
      <c r="Z105" s="274">
        <v>85.1</v>
      </c>
      <c r="AA105" s="274">
        <v>83.3</v>
      </c>
      <c r="AB105" s="274">
        <v>85</v>
      </c>
      <c r="AC105" s="274">
        <v>84.3</v>
      </c>
      <c r="AD105" s="274">
        <v>88</v>
      </c>
      <c r="AE105" s="274">
        <v>91</v>
      </c>
      <c r="AF105" s="274">
        <v>94.7</v>
      </c>
      <c r="AG105" s="289"/>
      <c r="AH105" s="226">
        <f t="shared" si="23"/>
        <v>101.7</v>
      </c>
      <c r="AI105" s="284">
        <f t="shared" si="24"/>
        <v>0.66666666666666696</v>
      </c>
    </row>
    <row r="106" spans="1:37" ht="15.75" thickBot="1" x14ac:dyDescent="0.3">
      <c r="A106" s="290" t="s">
        <v>110</v>
      </c>
      <c r="B106" s="274">
        <v>93.5</v>
      </c>
      <c r="C106" s="274">
        <v>89.2</v>
      </c>
      <c r="D106" s="274">
        <v>96.5</v>
      </c>
      <c r="E106" s="274">
        <v>96.5</v>
      </c>
      <c r="F106" s="274">
        <v>62.1</v>
      </c>
      <c r="G106" s="274">
        <v>62.4</v>
      </c>
      <c r="H106" s="274">
        <v>56.3</v>
      </c>
      <c r="I106" s="274">
        <v>47.8</v>
      </c>
      <c r="J106" s="274">
        <v>62.3</v>
      </c>
      <c r="K106" s="274">
        <v>67.599999999999994</v>
      </c>
      <c r="L106" s="274">
        <v>57.4</v>
      </c>
      <c r="M106" s="274">
        <v>60.2</v>
      </c>
      <c r="N106" s="274">
        <v>55.1</v>
      </c>
      <c r="O106" s="274"/>
      <c r="P106" s="274">
        <v>39.4</v>
      </c>
      <c r="Q106" s="274">
        <v>11.2</v>
      </c>
      <c r="R106" s="274">
        <v>57</v>
      </c>
      <c r="S106" s="274">
        <v>29.3</v>
      </c>
      <c r="T106" s="274">
        <v>69</v>
      </c>
      <c r="U106" s="274">
        <v>66.599999999999994</v>
      </c>
      <c r="V106" s="274">
        <v>44</v>
      </c>
      <c r="W106" s="274">
        <v>72</v>
      </c>
      <c r="X106" s="274">
        <v>72</v>
      </c>
      <c r="Y106" s="274">
        <v>49.1</v>
      </c>
      <c r="Z106" s="274">
        <v>37.1</v>
      </c>
      <c r="AA106" s="274">
        <v>35</v>
      </c>
      <c r="AB106" s="274">
        <v>40.6</v>
      </c>
      <c r="AC106" s="274">
        <v>43.8</v>
      </c>
      <c r="AD106" s="274">
        <v>61</v>
      </c>
      <c r="AE106" s="274">
        <v>73.2</v>
      </c>
      <c r="AF106" s="274">
        <v>80.599999999999994</v>
      </c>
      <c r="AG106" s="289"/>
      <c r="AH106" s="226">
        <f t="shared" si="23"/>
        <v>96.5</v>
      </c>
      <c r="AI106" s="284">
        <f t="shared" si="24"/>
        <v>8.3333333333333301E-2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1891.2399999999998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3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2079/02/3)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2079/02/3)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1933.4400000000003</v>
      </c>
      <c r="U235" s="343">
        <f t="shared" si="31"/>
        <v>1819.24</v>
      </c>
      <c r="V235" s="343">
        <f t="shared" si="31"/>
        <v>1829.74</v>
      </c>
      <c r="W235" s="343">
        <f t="shared" si="31"/>
        <v>1834.34</v>
      </c>
      <c r="X235" s="343">
        <f t="shared" si="31"/>
        <v>1806.7399999999998</v>
      </c>
      <c r="Y235" s="343">
        <f t="shared" si="31"/>
        <v>1816.24</v>
      </c>
      <c r="Z235" s="343">
        <f t="shared" si="31"/>
        <v>1830.54</v>
      </c>
      <c r="AA235" s="343">
        <f t="shared" si="31"/>
        <v>1822.3400000000001</v>
      </c>
      <c r="AB235" s="343">
        <f t="shared" si="31"/>
        <v>1815.84</v>
      </c>
      <c r="AC235" s="343">
        <f t="shared" si="31"/>
        <v>1874.4399999999998</v>
      </c>
      <c r="AD235" s="343">
        <f t="shared" si="31"/>
        <v>1873.64</v>
      </c>
      <c r="AE235" s="343">
        <f t="shared" si="31"/>
        <v>1891.2399999999998</v>
      </c>
      <c r="AF235" s="343">
        <f t="shared" si="31"/>
        <v>1885.2400000000002</v>
      </c>
      <c r="AG235" s="343">
        <f t="shared" si="31"/>
        <v>1823.44</v>
      </c>
      <c r="AH235" s="343">
        <f t="shared" si="31"/>
        <v>1936.2400000000002</v>
      </c>
      <c r="AI235" s="343">
        <f t="shared" si="31"/>
        <v>1916.04</v>
      </c>
      <c r="AJ235" s="343">
        <f t="shared" si="31"/>
        <v>1885.3400000000001</v>
      </c>
      <c r="AK235" s="343">
        <f t="shared" si="31"/>
        <v>1852.34</v>
      </c>
      <c r="AL235" s="343">
        <f t="shared" si="31"/>
        <v>1846.74</v>
      </c>
      <c r="AM235" s="343">
        <f t="shared" si="31"/>
        <v>1812.74</v>
      </c>
      <c r="AN235" s="343">
        <f t="shared" si="31"/>
        <v>1767.54</v>
      </c>
      <c r="AO235" s="343">
        <f t="shared" si="31"/>
        <v>1766.0400000000002</v>
      </c>
      <c r="AP235" s="343">
        <f t="shared" si="31"/>
        <v>1766.0400000000002</v>
      </c>
      <c r="AQ235" s="343">
        <f t="shared" si="31"/>
        <v>1802.7400000000002</v>
      </c>
      <c r="AR235" s="343">
        <f t="shared" si="31"/>
        <v>1840.74</v>
      </c>
      <c r="AS235" s="343">
        <f t="shared" si="31"/>
        <v>1867.04</v>
      </c>
      <c r="AT235" s="343">
        <f t="shared" si="31"/>
        <v>1857.7399999999998</v>
      </c>
      <c r="AU235" s="343">
        <f t="shared" si="31"/>
        <v>1859.2399999999998</v>
      </c>
      <c r="AV235" s="343">
        <f t="shared" si="31"/>
        <v>1851.4399999999998</v>
      </c>
      <c r="AW235" s="343">
        <f t="shared" si="31"/>
        <v>1807.04</v>
      </c>
      <c r="AX235" s="343">
        <f t="shared" si="31"/>
        <v>1843.34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B11:AF11">
    <cfRule type="expression" dxfId="7928" priority="330">
      <formula>B$9&gt;=20/24</formula>
    </cfRule>
    <cfRule type="expression" dxfId="7927" priority="331">
      <formula>AND(B$9&gt;=14/24,B$9&lt;20/24)</formula>
    </cfRule>
    <cfRule type="expression" dxfId="7926" priority="332">
      <formula>AND(B$9&gt;=8/24,B$9&lt;14/24)</formula>
    </cfRule>
    <cfRule type="expression" dxfId="7925" priority="333">
      <formula>B$9&lt;8/24</formula>
    </cfRule>
  </conditionalFormatting>
  <conditionalFormatting sqref="AL4:AL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7924" priority="325">
      <formula>S$9&gt;=20/24</formula>
    </cfRule>
    <cfRule type="expression" dxfId="7923" priority="326">
      <formula>AND(S$9&gt;=14/24,S$9&lt;20/24)</formula>
    </cfRule>
    <cfRule type="expression" dxfId="7922" priority="327">
      <formula>AND(S$9&gt;=8/24,S$9&lt;14/24)</formula>
    </cfRule>
    <cfRule type="expression" dxfId="7921" priority="328">
      <formula>S$9&lt;8/24</formula>
    </cfRule>
  </conditionalFormatting>
  <conditionalFormatting sqref="AG55 M11:Q11 M16:Q16 S37:AF37 R11:AF16 AB35:AF35">
    <cfRule type="expression" dxfId="7920" priority="324">
      <formula>M11&gt;$AG11</formula>
    </cfRule>
  </conditionalFormatting>
  <conditionalFormatting sqref="A89:A102 A11:A14 A49:A76 A85:A87 A191:A221 A16:A30 A36:A47 A107:A178 A32:A33 A81:A83 A78:A79">
    <cfRule type="expression" dxfId="7919" priority="323">
      <formula>$AH11=0</formula>
    </cfRule>
  </conditionalFormatting>
  <conditionalFormatting sqref="A103">
    <cfRule type="expression" dxfId="7918" priority="322">
      <formula>$AH103=0</formula>
    </cfRule>
  </conditionalFormatting>
  <conditionalFormatting sqref="AL33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917" priority="320">
      <formula>$AH35=0</formula>
    </cfRule>
  </conditionalFormatting>
  <conditionalFormatting sqref="A88">
    <cfRule type="expression" dxfId="7916" priority="319">
      <formula>$AH88=0</formula>
    </cfRule>
  </conditionalFormatting>
  <conditionalFormatting sqref="A15">
    <cfRule type="expression" dxfId="7915" priority="318">
      <formula>$AH15=0</formula>
    </cfRule>
  </conditionalFormatting>
  <conditionalFormatting sqref="A185:A190">
    <cfRule type="expression" dxfId="7914" priority="317">
      <formula>$AH185=0</formula>
    </cfRule>
  </conditionalFormatting>
  <conditionalFormatting sqref="A179:A184">
    <cfRule type="expression" dxfId="7913" priority="316">
      <formula>$AH179=0</formula>
    </cfRule>
  </conditionalFormatting>
  <conditionalFormatting sqref="A48">
    <cfRule type="expression" dxfId="7912" priority="315">
      <formula>$AH48=0</formula>
    </cfRule>
  </conditionalFormatting>
  <conditionalFormatting sqref="A84">
    <cfRule type="expression" dxfId="7911" priority="314">
      <formula>$AH84=0</formula>
    </cfRule>
  </conditionalFormatting>
  <conditionalFormatting sqref="C89:AF89">
    <cfRule type="expression" dxfId="7910" priority="310">
      <formula>C$9&gt;=20/24</formula>
    </cfRule>
    <cfRule type="expression" dxfId="7909" priority="311">
      <formula>AND(C$9&gt;=14/24,C$9&lt;20/24)</formula>
    </cfRule>
    <cfRule type="expression" dxfId="7908" priority="312">
      <formula>AND(C$9&gt;=8/24,C$9&lt;14/24)</formula>
    </cfRule>
    <cfRule type="expression" dxfId="7907" priority="313">
      <formula>C$9&lt;8/24</formula>
    </cfRule>
  </conditionalFormatting>
  <conditionalFormatting sqref="AL34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906" priority="336">
      <formula>C$9&gt;=20/24</formula>
    </cfRule>
    <cfRule type="expression" dxfId="7905" priority="337">
      <formula>AND(C$9&gt;=14/24,C$9&lt;20/24)</formula>
    </cfRule>
    <cfRule type="expression" dxfId="7904" priority="338">
      <formula>AND(C$9&gt;=8/24,C$9&lt;14/24)</formula>
    </cfRule>
    <cfRule type="expression" dxfId="7903" priority="339">
      <formula>C$9&lt;8/24</formula>
    </cfRule>
  </conditionalFormatting>
  <conditionalFormatting sqref="A222">
    <cfRule type="expression" dxfId="7902" priority="340">
      <formula>$AH222=0</formula>
    </cfRule>
  </conditionalFormatting>
  <conditionalFormatting sqref="AG234">
    <cfRule type="expression" dxfId="7901" priority="341">
      <formula>B$9&gt;=20/24</formula>
    </cfRule>
    <cfRule type="expression" dxfId="7900" priority="342">
      <formula>AND(B$9&gt;=14/24,B$9&lt;20/24)</formula>
    </cfRule>
    <cfRule type="expression" dxfId="7899" priority="343">
      <formula>AND(B$9&gt;=8/24,B$9&lt;14/24)</formula>
    </cfRule>
    <cfRule type="expression" dxfId="7898" priority="344">
      <formula>B$9&lt;8/24</formula>
    </cfRule>
  </conditionalFormatting>
  <conditionalFormatting sqref="S8">
    <cfRule type="expression" dxfId="7897" priority="305">
      <formula>U$9&gt;=20/24</formula>
    </cfRule>
    <cfRule type="expression" dxfId="7896" priority="306">
      <formula>AND(U$9&gt;=14/24,U$9&lt;20/24)</formula>
    </cfRule>
    <cfRule type="expression" dxfId="7895" priority="307">
      <formula>AND(U$9&gt;=8/24,U$9&lt;14/24)</formula>
    </cfRule>
    <cfRule type="expression" dxfId="7894" priority="308">
      <formula>U$9&lt;8/24</formula>
    </cfRule>
  </conditionalFormatting>
  <conditionalFormatting sqref="AB8">
    <cfRule type="expression" dxfId="7893" priority="301">
      <formula>AD$9&gt;=20/24</formula>
    </cfRule>
    <cfRule type="expression" dxfId="7892" priority="302">
      <formula>AND(AD$9&gt;=14/24,AD$9&lt;20/24)</formula>
    </cfRule>
    <cfRule type="expression" dxfId="7891" priority="303">
      <formula>AND(AD$9&gt;=8/24,AD$9&lt;14/24)</formula>
    </cfRule>
    <cfRule type="expression" dxfId="7890" priority="304">
      <formula>AD$9&lt;8/24</formula>
    </cfRule>
  </conditionalFormatting>
  <conditionalFormatting sqref="AH234:AX234">
    <cfRule type="expression" dxfId="7889" priority="345">
      <formula>AG$9&gt;=20/24</formula>
    </cfRule>
    <cfRule type="expression" dxfId="7888" priority="346">
      <formula>AND(AG$9&gt;=14/24,AG$9&lt;20/24)</formula>
    </cfRule>
    <cfRule type="expression" dxfId="7887" priority="347">
      <formula>AND(AG$9&gt;=8/24,AG$9&lt;14/24)</formula>
    </cfRule>
    <cfRule type="expression" dxfId="7886" priority="348">
      <formula>AG$9&lt;8/24</formula>
    </cfRule>
  </conditionalFormatting>
  <conditionalFormatting sqref="T234">
    <cfRule type="expression" dxfId="7885" priority="349">
      <formula>AX$9&gt;=20/24</formula>
    </cfRule>
    <cfRule type="expression" dxfId="7884" priority="350">
      <formula>AND(AX$9&gt;=14/24,AX$9&lt;20/24)</formula>
    </cfRule>
    <cfRule type="expression" dxfId="7883" priority="351">
      <formula>AND(AX$9&gt;=8/24,AX$9&lt;14/24)</formula>
    </cfRule>
    <cfRule type="expression" dxfId="7882" priority="352">
      <formula>AX$9&lt;8/24</formula>
    </cfRule>
  </conditionalFormatting>
  <conditionalFormatting sqref="A104:A105">
    <cfRule type="expression" dxfId="7881" priority="300">
      <formula>$AH104=0</formula>
    </cfRule>
  </conditionalFormatting>
  <conditionalFormatting sqref="AB36:AF36 AB44:AF45 C61:AF61">
    <cfRule type="expression" dxfId="7880" priority="296">
      <formula>C$9&gt;=20/24</formula>
    </cfRule>
    <cfRule type="expression" dxfId="7879" priority="297">
      <formula>AND(C$9&gt;=14/24,C$9&lt;20/24)</formula>
    </cfRule>
    <cfRule type="expression" dxfId="7878" priority="298">
      <formula>AND(C$9&gt;=8/24,C$9&lt;14/24)</formula>
    </cfRule>
    <cfRule type="expression" dxfId="7877" priority="299">
      <formula>C$9&lt;8/24</formula>
    </cfRule>
  </conditionalFormatting>
  <conditionalFormatting sqref="AB43:AF43">
    <cfRule type="expression" dxfId="7876" priority="292">
      <formula>AB$9&gt;=20/24</formula>
    </cfRule>
    <cfRule type="expression" dxfId="7875" priority="293">
      <formula>AND(AB$9&gt;=14/24,AB$9&lt;20/24)</formula>
    </cfRule>
    <cfRule type="expression" dxfId="7874" priority="294">
      <formula>AND(AB$9&gt;=8/24,AB$9&lt;14/24)</formula>
    </cfRule>
    <cfRule type="expression" dxfId="7873" priority="295">
      <formula>AB$9&lt;8/24</formula>
    </cfRule>
  </conditionalFormatting>
  <conditionalFormatting sqref="AB36:AF36 AB43:AF45">
    <cfRule type="expression" dxfId="7872" priority="291">
      <formula>AB36&gt;$AG36</formula>
    </cfRule>
  </conditionalFormatting>
  <conditionalFormatting sqref="C86:AF86 M37:O37 F36:O36 P36:R37 M28:U30 M32:U32 S31:U31 C73:AF76 C90:AF96 M11:AA14 S36:AA36 V28:AA32 C71:AA71 C62:AA67 C57:AF59 AB12:AF14 M16:AF16 M24:AF26 M18:AF22 AB32:AF32 AB28:AF30 AB62:AF71">
    <cfRule type="expression" dxfId="7871" priority="287">
      <formula>C$9&gt;=20/24</formula>
    </cfRule>
    <cfRule type="expression" dxfId="7870" priority="288">
      <formula>AND(C$9&gt;=14/24,C$9&lt;20/24)</formula>
    </cfRule>
    <cfRule type="expression" dxfId="7869" priority="289">
      <formula>AND(C$9&gt;=8/24,C$9&lt;14/24)</formula>
    </cfRule>
    <cfRule type="expression" dxfId="7868" priority="290">
      <formula>C$9&lt;8/24</formula>
    </cfRule>
  </conditionalFormatting>
  <conditionalFormatting sqref="AB33:AF33">
    <cfRule type="expression" dxfId="7867" priority="283">
      <formula>AB$9&gt;=20/24</formula>
    </cfRule>
    <cfRule type="expression" dxfId="7866" priority="284">
      <formula>AND(AB$9&gt;=14/24,AB$9&lt;20/24)</formula>
    </cfRule>
    <cfRule type="expression" dxfId="7865" priority="285">
      <formula>AND(AB$9&gt;=8/24,AB$9&lt;14/24)</formula>
    </cfRule>
    <cfRule type="expression" dxfId="7864" priority="286">
      <formula>AB$9&lt;8/24</formula>
    </cfRule>
  </conditionalFormatting>
  <conditionalFormatting sqref="C55:AF55 M11:Q15 F36:R37 M24:U30 M32:U32 S31:U31 R11:AA11 S36:AA36 V24:AA32 C57:AF59 M18:AF22 AB32:AF33 AB24:AF30 AB46:AF47">
    <cfRule type="expression" dxfId="7863" priority="282">
      <formula>C11&gt;$AG11</formula>
    </cfRule>
  </conditionalFormatting>
  <conditionalFormatting sqref="AB35:AF35">
    <cfRule type="expression" dxfId="7862" priority="278">
      <formula>AB$9&gt;=20/24</formula>
    </cfRule>
    <cfRule type="expression" dxfId="7861" priority="279">
      <formula>AND(AB$9&gt;=14/24,AB$9&lt;20/24)</formula>
    </cfRule>
    <cfRule type="expression" dxfId="7860" priority="280">
      <formula>AND(AB$9&gt;=8/24,AB$9&lt;14/24)</formula>
    </cfRule>
    <cfRule type="expression" dxfId="7859" priority="281">
      <formula>AB$9&lt;8/24</formula>
    </cfRule>
  </conditionalFormatting>
  <conditionalFormatting sqref="M15:AF15">
    <cfRule type="expression" dxfId="7858" priority="274">
      <formula>M$9&gt;=20/24</formula>
    </cfRule>
    <cfRule type="expression" dxfId="7857" priority="275">
      <formula>AND(M$9&gt;=14/24,M$9&lt;20/24)</formula>
    </cfRule>
    <cfRule type="expression" dxfId="7856" priority="276">
      <formula>AND(M$9&gt;=8/24,M$9&lt;14/24)</formula>
    </cfRule>
    <cfRule type="expression" dxfId="7855" priority="277">
      <formula>M$9&lt;8/24</formula>
    </cfRule>
  </conditionalFormatting>
  <conditionalFormatting sqref="AB34:AF34">
    <cfRule type="expression" dxfId="7854" priority="270">
      <formula>AB$9&gt;=20/24</formula>
    </cfRule>
    <cfRule type="expression" dxfId="7853" priority="271">
      <formula>AND(AB$9&gt;=14/24,AB$9&lt;20/24)</formula>
    </cfRule>
    <cfRule type="expression" dxfId="7852" priority="272">
      <formula>AND(AB$9&gt;=8/24,AB$9&lt;14/24)</formula>
    </cfRule>
    <cfRule type="expression" dxfId="7851" priority="273">
      <formula>AB$9&lt;8/24</formula>
    </cfRule>
  </conditionalFormatting>
  <conditionalFormatting sqref="AB34:AF34">
    <cfRule type="expression" dxfId="7850" priority="269">
      <formula>AB34&gt;$AG34</formula>
    </cfRule>
  </conditionalFormatting>
  <conditionalFormatting sqref="AB48:AF54">
    <cfRule type="expression" dxfId="7849" priority="261">
      <formula>AB$9&gt;=20/24</formula>
    </cfRule>
    <cfRule type="expression" dxfId="7848" priority="262">
      <formula>AND(AB$9&gt;=14/24,AB$9&lt;20/24)</formula>
    </cfRule>
    <cfRule type="expression" dxfId="7847" priority="263">
      <formula>AND(AB$9&gt;=8/24,AB$9&lt;14/24)</formula>
    </cfRule>
    <cfRule type="expression" dxfId="7846" priority="264">
      <formula>AB$9&lt;8/24</formula>
    </cfRule>
  </conditionalFormatting>
  <conditionalFormatting sqref="AB48:AF54">
    <cfRule type="expression" dxfId="7845" priority="260">
      <formula>AB48&gt;$AG48</formula>
    </cfRule>
  </conditionalFormatting>
  <conditionalFormatting sqref="M43:R47 M48:N48 O48:R49 S43:AA49">
    <cfRule type="expression" dxfId="7844" priority="256">
      <formula>M$9&gt;=20/24</formula>
    </cfRule>
    <cfRule type="expression" dxfId="7843" priority="257">
      <formula>AND(M$9&gt;=14/24,M$9&lt;20/24)</formula>
    </cfRule>
    <cfRule type="expression" dxfId="7842" priority="258">
      <formula>AND(M$9&gt;=8/24,M$9&lt;14/24)</formula>
    </cfRule>
    <cfRule type="expression" dxfId="7841" priority="259">
      <formula>M$9&lt;8/24</formula>
    </cfRule>
  </conditionalFormatting>
  <conditionalFormatting sqref="M43:R47 M48:N48 O48:R49 S43:AA49">
    <cfRule type="expression" dxfId="7840" priority="255">
      <formula>M43&gt;$AG43</formula>
    </cfRule>
  </conditionalFormatting>
  <conditionalFormatting sqref="M27:AF27">
    <cfRule type="expression" dxfId="7839" priority="251">
      <formula>M$9&gt;=20/24</formula>
    </cfRule>
    <cfRule type="expression" dxfId="7838" priority="252">
      <formula>AND(M$9&gt;=14/24,M$9&lt;20/24)</formula>
    </cfRule>
    <cfRule type="expression" dxfId="7837" priority="253">
      <formula>AND(M$9&gt;=8/24,M$9&lt;14/24)</formula>
    </cfRule>
    <cfRule type="expression" dxfId="7836" priority="254">
      <formula>M$9&lt;8/24</formula>
    </cfRule>
  </conditionalFormatting>
  <conditionalFormatting sqref="M17:AF17 M23:AF23">
    <cfRule type="expression" dxfId="7835" priority="247">
      <formula>M$9&gt;=20/24</formula>
    </cfRule>
    <cfRule type="expression" dxfId="7834" priority="248">
      <formula>AND(M$9&gt;=14/24,M$9&lt;20/24)</formula>
    </cfRule>
    <cfRule type="expression" dxfId="7833" priority="249">
      <formula>AND(M$9&gt;=8/24,M$9&lt;14/24)</formula>
    </cfRule>
    <cfRule type="expression" dxfId="7832" priority="250">
      <formula>M$9&lt;8/24</formula>
    </cfRule>
  </conditionalFormatting>
  <conditionalFormatting sqref="M17:AF17 M23:AF23">
    <cfRule type="expression" dxfId="7831" priority="242">
      <formula>M17&gt;$AG17</formula>
    </cfRule>
  </conditionalFormatting>
  <conditionalFormatting sqref="C44:L45">
    <cfRule type="expression" dxfId="7830" priority="225">
      <formula>C$9&gt;=20/24</formula>
    </cfRule>
    <cfRule type="expression" dxfId="7829" priority="226">
      <formula>AND(C$9&gt;=14/24,C$9&lt;20/24)</formula>
    </cfRule>
    <cfRule type="expression" dxfId="7828" priority="227">
      <formula>AND(C$9&gt;=8/24,C$9&lt;14/24)</formula>
    </cfRule>
    <cfRule type="expression" dxfId="7827" priority="228">
      <formula>C$9&lt;8/24</formula>
    </cfRule>
  </conditionalFormatting>
  <conditionalFormatting sqref="C43:L43">
    <cfRule type="expression" dxfId="7826" priority="221">
      <formula>C$9&gt;=20/24</formula>
    </cfRule>
    <cfRule type="expression" dxfId="7825" priority="222">
      <formula>AND(C$9&gt;=14/24,C$9&lt;20/24)</formula>
    </cfRule>
    <cfRule type="expression" dxfId="7824" priority="223">
      <formula>AND(C$9&gt;=8/24,C$9&lt;14/24)</formula>
    </cfRule>
    <cfRule type="expression" dxfId="7823" priority="224">
      <formula>C$9&lt;8/24</formula>
    </cfRule>
  </conditionalFormatting>
  <conditionalFormatting sqref="C43:L45">
    <cfRule type="expression" dxfId="7822" priority="220">
      <formula>C43&gt;$AG43</formula>
    </cfRule>
  </conditionalFormatting>
  <conditionalFormatting sqref="C68:AA70">
    <cfRule type="expression" dxfId="7821" priority="216">
      <formula>C$9&gt;=20/24</formula>
    </cfRule>
    <cfRule type="expression" dxfId="7820" priority="217">
      <formula>AND(C$9&gt;=14/24,C$9&lt;20/24)</formula>
    </cfRule>
    <cfRule type="expression" dxfId="7819" priority="218">
      <formula>AND(C$9&gt;=8/24,C$9&lt;14/24)</formula>
    </cfRule>
    <cfRule type="expression" dxfId="7818" priority="219">
      <formula>C$9&lt;8/24</formula>
    </cfRule>
  </conditionalFormatting>
  <conditionalFormatting sqref="C46:L47">
    <cfRule type="expression" dxfId="7817" priority="215">
      <formula>C46&gt;$AG46</formula>
    </cfRule>
  </conditionalFormatting>
  <conditionalFormatting sqref="C48:L54 M49:N54 O50:AA54">
    <cfRule type="expression" dxfId="7816" priority="211">
      <formula>C$9&gt;=20/24</formula>
    </cfRule>
    <cfRule type="expression" dxfId="7815" priority="212">
      <formula>AND(C$9&gt;=14/24,C$9&lt;20/24)</formula>
    </cfRule>
    <cfRule type="expression" dxfId="7814" priority="213">
      <formula>AND(C$9&gt;=8/24,C$9&lt;14/24)</formula>
    </cfRule>
    <cfRule type="expression" dxfId="7813" priority="214">
      <formula>C$9&lt;8/24</formula>
    </cfRule>
  </conditionalFormatting>
  <conditionalFormatting sqref="C48:L54 M49:N54 O50:AA54">
    <cfRule type="expression" dxfId="7812" priority="210">
      <formula>C48&gt;$AG48</formula>
    </cfRule>
  </conditionalFormatting>
  <conditionalFormatting sqref="C78:AF78 C87:AF87">
    <cfRule type="expression" dxfId="7811" priority="197">
      <formula>C$9&gt;=20/24</formula>
    </cfRule>
    <cfRule type="expression" dxfId="7810" priority="198">
      <formula>AND(C$9&gt;=14/24,C$9&lt;20/24)</formula>
    </cfRule>
    <cfRule type="expression" dxfId="7809" priority="199">
      <formula>AND(C$9&gt;=8/24,C$9&lt;14/24)</formula>
    </cfRule>
    <cfRule type="expression" dxfId="7808" priority="200">
      <formula>C$9&lt;8/24</formula>
    </cfRule>
  </conditionalFormatting>
  <conditionalFormatting sqref="C79:AF79 C60:AG60 C77:AG77 C88:AF88">
    <cfRule type="expression" dxfId="7807" priority="175">
      <formula>C$9&gt;=20/24</formula>
    </cfRule>
    <cfRule type="expression" dxfId="7806" priority="176">
      <formula>AND(C$9&gt;=14/24,C$9&lt;20/24)</formula>
    </cfRule>
    <cfRule type="expression" dxfId="7805" priority="177">
      <formula>AND(C$9&gt;=8/24,C$9&lt;14/24)</formula>
    </cfRule>
    <cfRule type="expression" dxfId="7804" priority="178">
      <formula>C$9&lt;8/24</formula>
    </cfRule>
  </conditionalFormatting>
  <conditionalFormatting sqref="C38:AG38 C56:AG56 C60:AG60">
    <cfRule type="expression" dxfId="7803" priority="170">
      <formula>C38&gt;$AG38</formula>
    </cfRule>
  </conditionalFormatting>
  <conditionalFormatting sqref="A34">
    <cfRule type="expression" dxfId="7802" priority="142">
      <formula>$AH34=0</formula>
    </cfRule>
  </conditionalFormatting>
  <conditionalFormatting sqref="C72:AF72">
    <cfRule type="expression" dxfId="7801" priority="138">
      <formula>C$9&gt;=20/24</formula>
    </cfRule>
    <cfRule type="expression" dxfId="7800" priority="139">
      <formula>AND(C$9&gt;=14/24,C$9&lt;20/24)</formula>
    </cfRule>
    <cfRule type="expression" dxfId="7799" priority="140">
      <formula>AND(C$9&gt;=8/24,C$9&lt;14/24)</formula>
    </cfRule>
    <cfRule type="expression" dxfId="7798" priority="141">
      <formula>C$9&lt;8/24</formula>
    </cfRule>
  </conditionalFormatting>
  <conditionalFormatting sqref="C81:AF85">
    <cfRule type="expression" dxfId="7797" priority="134">
      <formula>C$9&gt;=20/24</formula>
    </cfRule>
    <cfRule type="expression" dxfId="7796" priority="135">
      <formula>AND(C$9&gt;=14/24,C$9&lt;20/24)</formula>
    </cfRule>
    <cfRule type="expression" dxfId="7795" priority="136">
      <formula>AND(C$9&gt;=8/24,C$9&lt;14/24)</formula>
    </cfRule>
    <cfRule type="expression" dxfId="7794" priority="137">
      <formula>C$9&lt;8/24</formula>
    </cfRule>
  </conditionalFormatting>
  <conditionalFormatting sqref="AL35 AL7:AL30 AL32">
    <cfRule type="iconSet" priority="353">
      <iconSet iconSet="3TrafficLights2" reverse="1">
        <cfvo type="percent" val="0"/>
        <cfvo type="num" val="1"/>
        <cfvo type="num" val="1"/>
      </iconSet>
    </cfRule>
  </conditionalFormatting>
  <conditionalFormatting sqref="D39:AF41">
    <cfRule type="expression" dxfId="7793" priority="130">
      <formula>D$9&gt;=20/24</formula>
    </cfRule>
    <cfRule type="expression" dxfId="7792" priority="131">
      <formula>AND(D$9&gt;=14/24,D$9&lt;20/24)</formula>
    </cfRule>
    <cfRule type="expression" dxfId="7791" priority="132">
      <formula>AND(D$9&gt;=8/24,D$9&lt;14/24)</formula>
    </cfRule>
    <cfRule type="expression" dxfId="7790" priority="133">
      <formula>D$9&lt;8/24</formula>
    </cfRule>
  </conditionalFormatting>
  <conditionalFormatting sqref="D39:AF41">
    <cfRule type="expression" dxfId="7789" priority="129">
      <formula>D39&gt;$AG39</formula>
    </cfRule>
  </conditionalFormatting>
  <conditionalFormatting sqref="C42:AG42">
    <cfRule type="expression" dxfId="7788" priority="125">
      <formula>C$9&gt;=20/24</formula>
    </cfRule>
    <cfRule type="expression" dxfId="7787" priority="126">
      <formula>AND(C$9&gt;=14/24,C$9&lt;20/24)</formula>
    </cfRule>
    <cfRule type="expression" dxfId="7786" priority="127">
      <formula>AND(C$9&gt;=8/24,C$9&lt;14/24)</formula>
    </cfRule>
    <cfRule type="expression" dxfId="7785" priority="128">
      <formula>C$9&lt;8/24</formula>
    </cfRule>
  </conditionalFormatting>
  <conditionalFormatting sqref="C42:AG42">
    <cfRule type="expression" dxfId="7784" priority="124">
      <formula>C42&gt;$AG42</formula>
    </cfRule>
  </conditionalFormatting>
  <conditionalFormatting sqref="C97:AF97">
    <cfRule type="expression" dxfId="7783" priority="120">
      <formula>C$9&gt;=20/24</formula>
    </cfRule>
    <cfRule type="expression" dxfId="7782" priority="121">
      <formula>AND(C$9&gt;=14/24,C$9&lt;20/24)</formula>
    </cfRule>
    <cfRule type="expression" dxfId="7781" priority="122">
      <formula>AND(C$9&gt;=8/24,C$9&lt;14/24)</formula>
    </cfRule>
    <cfRule type="expression" dxfId="7780" priority="123">
      <formula>C$9&lt;8/24</formula>
    </cfRule>
  </conditionalFormatting>
  <conditionalFormatting sqref="AL31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7779" priority="109">
      <formula>$AH31=0</formula>
    </cfRule>
  </conditionalFormatting>
  <conditionalFormatting sqref="A80">
    <cfRule type="expression" dxfId="7778" priority="107">
      <formula>$AH80=0</formula>
    </cfRule>
  </conditionalFormatting>
  <conditionalFormatting sqref="A77">
    <cfRule type="expression" dxfId="7777" priority="108">
      <formula>$AH77=0</formula>
    </cfRule>
  </conditionalFormatting>
  <conditionalFormatting sqref="A106">
    <cfRule type="expression" dxfId="7776" priority="98">
      <formula>$AH106=0</formula>
    </cfRule>
  </conditionalFormatting>
  <conditionalFormatting sqref="B99:B105 B11:L11">
    <cfRule type="expression" dxfId="7775" priority="94">
      <formula>B$9&gt;=20/24</formula>
    </cfRule>
    <cfRule type="expression" dxfId="7774" priority="95">
      <formula>AND(B$9&gt;=14/24,B$9&lt;20/24)</formula>
    </cfRule>
    <cfRule type="expression" dxfId="7773" priority="96">
      <formula>AND(B$9&gt;=8/24,B$9&lt;14/24)</formula>
    </cfRule>
    <cfRule type="expression" dxfId="7772" priority="97">
      <formula>B$9&lt;8/24</formula>
    </cfRule>
  </conditionalFormatting>
  <conditionalFormatting sqref="B37:E37">
    <cfRule type="expression" dxfId="7771" priority="90">
      <formula>B$9&gt;=20/24</formula>
    </cfRule>
    <cfRule type="expression" dxfId="7770" priority="91">
      <formula>AND(B$9&gt;=14/24,B$9&lt;20/24)</formula>
    </cfRule>
    <cfRule type="expression" dxfId="7769" priority="92">
      <formula>AND(B$9&gt;=8/24,B$9&lt;14/24)</formula>
    </cfRule>
    <cfRule type="expression" dxfId="7768" priority="93">
      <formula>B$9&lt;8/24</formula>
    </cfRule>
  </conditionalFormatting>
  <conditionalFormatting sqref="B37:E37 B11:L16 B35:AA35">
    <cfRule type="expression" dxfId="7767" priority="89">
      <formula>B11&gt;$AG11</formula>
    </cfRule>
  </conditionalFormatting>
  <conditionalFormatting sqref="B89">
    <cfRule type="expression" dxfId="7766" priority="85">
      <formula>B$9&gt;=20/24</formula>
    </cfRule>
    <cfRule type="expression" dxfId="7765" priority="86">
      <formula>AND(B$9&gt;=14/24,B$9&lt;20/24)</formula>
    </cfRule>
    <cfRule type="expression" dxfId="7764" priority="87">
      <formula>AND(B$9&gt;=8/24,B$9&lt;14/24)</formula>
    </cfRule>
    <cfRule type="expression" dxfId="7763" priority="88">
      <formula>B$9&lt;8/24</formula>
    </cfRule>
  </conditionalFormatting>
  <conditionalFormatting sqref="B61 B44:B45 B36:E36">
    <cfRule type="expression" dxfId="7762" priority="81">
      <formula>B$9&gt;=20/24</formula>
    </cfRule>
    <cfRule type="expression" dxfId="7761" priority="82">
      <formula>AND(B$9&gt;=14/24,B$9&lt;20/24)</formula>
    </cfRule>
    <cfRule type="expression" dxfId="7760" priority="83">
      <formula>AND(B$9&gt;=8/24,B$9&lt;14/24)</formula>
    </cfRule>
    <cfRule type="expression" dxfId="7759" priority="84">
      <formula>B$9&lt;8/24</formula>
    </cfRule>
  </conditionalFormatting>
  <conditionalFormatting sqref="B43">
    <cfRule type="expression" dxfId="7758" priority="77">
      <formula>B$9&gt;=20/24</formula>
    </cfRule>
    <cfRule type="expression" dxfId="7757" priority="78">
      <formula>AND(B$9&gt;=14/24,B$9&lt;20/24)</formula>
    </cfRule>
    <cfRule type="expression" dxfId="7756" priority="79">
      <formula>AND(B$9&gt;=8/24,B$9&lt;14/24)</formula>
    </cfRule>
    <cfRule type="expression" dxfId="7755" priority="80">
      <formula>B$9&lt;8/24</formula>
    </cfRule>
  </conditionalFormatting>
  <conditionalFormatting sqref="B43:B45 B36:E36">
    <cfRule type="expression" dxfId="7754" priority="76">
      <formula>B36&gt;$AG36</formula>
    </cfRule>
  </conditionalFormatting>
  <conditionalFormatting sqref="B90:B96 B57:B59 B73:B76 B86 B62:B71 B28:L32 B12:L14 B16:L16 B18:L22 B24:L26">
    <cfRule type="expression" dxfId="7753" priority="72">
      <formula>B$9&gt;=20/24</formula>
    </cfRule>
    <cfRule type="expression" dxfId="7752" priority="73">
      <formula>AND(B$9&gt;=14/24,B$9&lt;20/24)</formula>
    </cfRule>
    <cfRule type="expression" dxfId="7751" priority="74">
      <formula>AND(B$9&gt;=8/24,B$9&lt;14/24)</formula>
    </cfRule>
    <cfRule type="expression" dxfId="7750" priority="75">
      <formula>B$9&lt;8/24</formula>
    </cfRule>
  </conditionalFormatting>
  <conditionalFormatting sqref="B33:AA33">
    <cfRule type="expression" dxfId="7749" priority="68">
      <formula>B$9&gt;=20/24</formula>
    </cfRule>
    <cfRule type="expression" dxfId="7748" priority="69">
      <formula>AND(B$9&gt;=14/24,B$9&lt;20/24)</formula>
    </cfRule>
    <cfRule type="expression" dxfId="7747" priority="70">
      <formula>AND(B$9&gt;=8/24,B$9&lt;14/24)</formula>
    </cfRule>
    <cfRule type="expression" dxfId="7746" priority="71">
      <formula>B$9&lt;8/24</formula>
    </cfRule>
  </conditionalFormatting>
  <conditionalFormatting sqref="B55 B57:B59 B46:B47 B24:L33 B18:L22 M33:AA33">
    <cfRule type="expression" dxfId="7745" priority="67">
      <formula>B18&gt;$AG18</formula>
    </cfRule>
  </conditionalFormatting>
  <conditionalFormatting sqref="B35:AA35">
    <cfRule type="expression" dxfId="7744" priority="63">
      <formula>B$9&gt;=20/24</formula>
    </cfRule>
    <cfRule type="expression" dxfId="7743" priority="64">
      <formula>AND(B$9&gt;=14/24,B$9&lt;20/24)</formula>
    </cfRule>
    <cfRule type="expression" dxfId="7742" priority="65">
      <formula>AND(B$9&gt;=8/24,B$9&lt;14/24)</formula>
    </cfRule>
    <cfRule type="expression" dxfId="7741" priority="66">
      <formula>B$9&lt;8/24</formula>
    </cfRule>
  </conditionalFormatting>
  <conditionalFormatting sqref="B15:L15">
    <cfRule type="expression" dxfId="7740" priority="59">
      <formula>B$9&gt;=20/24</formula>
    </cfRule>
    <cfRule type="expression" dxfId="7739" priority="60">
      <formula>AND(B$9&gt;=14/24,B$9&lt;20/24)</formula>
    </cfRule>
    <cfRule type="expression" dxfId="7738" priority="61">
      <formula>AND(B$9&gt;=8/24,B$9&lt;14/24)</formula>
    </cfRule>
    <cfRule type="expression" dxfId="7737" priority="62">
      <formula>B$9&lt;8/24</formula>
    </cfRule>
  </conditionalFormatting>
  <conditionalFormatting sqref="B34:AA34">
    <cfRule type="expression" dxfId="7736" priority="55">
      <formula>B$9&gt;=20/24</formula>
    </cfRule>
    <cfRule type="expression" dxfId="7735" priority="56">
      <formula>AND(B$9&gt;=14/24,B$9&lt;20/24)</formula>
    </cfRule>
    <cfRule type="expression" dxfId="7734" priority="57">
      <formula>AND(B$9&gt;=8/24,B$9&lt;14/24)</formula>
    </cfRule>
    <cfRule type="expression" dxfId="7733" priority="58">
      <formula>B$9&lt;8/24</formula>
    </cfRule>
  </conditionalFormatting>
  <conditionalFormatting sqref="B34:AA34">
    <cfRule type="expression" dxfId="7732" priority="54">
      <formula>B34&gt;$AG34</formula>
    </cfRule>
  </conditionalFormatting>
  <conditionalFormatting sqref="B48:B54">
    <cfRule type="expression" dxfId="7731" priority="50">
      <formula>B$9&gt;=20/24</formula>
    </cfRule>
    <cfRule type="expression" dxfId="7730" priority="51">
      <formula>AND(B$9&gt;=14/24,B$9&lt;20/24)</formula>
    </cfRule>
    <cfRule type="expression" dxfId="7729" priority="52">
      <formula>AND(B$9&gt;=8/24,B$9&lt;14/24)</formula>
    </cfRule>
    <cfRule type="expression" dxfId="7728" priority="53">
      <formula>B$9&lt;8/24</formula>
    </cfRule>
  </conditionalFormatting>
  <conditionalFormatting sqref="B48:B54">
    <cfRule type="expression" dxfId="7727" priority="49">
      <formula>B48&gt;$AG48</formula>
    </cfRule>
  </conditionalFormatting>
  <conditionalFormatting sqref="B27:L27">
    <cfRule type="expression" dxfId="7726" priority="45">
      <formula>B$9&gt;=20/24</formula>
    </cfRule>
    <cfRule type="expression" dxfId="7725" priority="46">
      <formula>AND(B$9&gt;=14/24,B$9&lt;20/24)</formula>
    </cfRule>
    <cfRule type="expression" dxfId="7724" priority="47">
      <formula>AND(B$9&gt;=8/24,B$9&lt;14/24)</formula>
    </cfRule>
    <cfRule type="expression" dxfId="7723" priority="48">
      <formula>B$9&lt;8/24</formula>
    </cfRule>
  </conditionalFormatting>
  <conditionalFormatting sqref="B23:L23 B17:L17">
    <cfRule type="expression" dxfId="7722" priority="41">
      <formula>B$9&gt;=20/24</formula>
    </cfRule>
    <cfRule type="expression" dxfId="7721" priority="42">
      <formula>AND(B$9&gt;=14/24,B$9&lt;20/24)</formula>
    </cfRule>
    <cfRule type="expression" dxfId="7720" priority="43">
      <formula>AND(B$9&gt;=8/24,B$9&lt;14/24)</formula>
    </cfRule>
    <cfRule type="expression" dxfId="7719" priority="44">
      <formula>B$9&lt;8/24</formula>
    </cfRule>
  </conditionalFormatting>
  <conditionalFormatting sqref="B23:L23 B17:L17">
    <cfRule type="expression" dxfId="7718" priority="40">
      <formula>B17&gt;$AG17</formula>
    </cfRule>
  </conditionalFormatting>
  <conditionalFormatting sqref="B78 B87">
    <cfRule type="expression" dxfId="7717" priority="36">
      <formula>B$9&gt;=20/24</formula>
    </cfRule>
    <cfRule type="expression" dxfId="7716" priority="37">
      <formula>AND(B$9&gt;=14/24,B$9&lt;20/24)</formula>
    </cfRule>
    <cfRule type="expression" dxfId="7715" priority="38">
      <formula>AND(B$9&gt;=8/24,B$9&lt;14/24)</formula>
    </cfRule>
    <cfRule type="expression" dxfId="7714" priority="39">
      <formula>B$9&lt;8/24</formula>
    </cfRule>
  </conditionalFormatting>
  <conditionalFormatting sqref="B79 B60 B77 B88">
    <cfRule type="expression" dxfId="7713" priority="32">
      <formula>B$9&gt;=20/24</formula>
    </cfRule>
    <cfRule type="expression" dxfId="7712" priority="33">
      <formula>AND(B$9&gt;=14/24,B$9&lt;20/24)</formula>
    </cfRule>
    <cfRule type="expression" dxfId="7711" priority="34">
      <formula>AND(B$9&gt;=8/24,B$9&lt;14/24)</formula>
    </cfRule>
    <cfRule type="expression" dxfId="7710" priority="35">
      <formula>B$9&lt;8/24</formula>
    </cfRule>
  </conditionalFormatting>
  <conditionalFormatting sqref="B56 B60 B38">
    <cfRule type="expression" dxfId="7709" priority="31">
      <formula>B38&gt;$AG38</formula>
    </cfRule>
  </conditionalFormatting>
  <conditionalFormatting sqref="B72">
    <cfRule type="expression" dxfId="7708" priority="27">
      <formula>B$9&gt;=20/24</formula>
    </cfRule>
    <cfRule type="expression" dxfId="7707" priority="28">
      <formula>AND(B$9&gt;=14/24,B$9&lt;20/24)</formula>
    </cfRule>
    <cfRule type="expression" dxfId="7706" priority="29">
      <formula>AND(B$9&gt;=8/24,B$9&lt;14/24)</formula>
    </cfRule>
    <cfRule type="expression" dxfId="7705" priority="30">
      <formula>B$9&lt;8/24</formula>
    </cfRule>
  </conditionalFormatting>
  <conditionalFormatting sqref="B81:B85">
    <cfRule type="expression" dxfId="7704" priority="23">
      <formula>B$9&gt;=20/24</formula>
    </cfRule>
    <cfRule type="expression" dxfId="7703" priority="24">
      <formula>AND(B$9&gt;=14/24,B$9&lt;20/24)</formula>
    </cfRule>
    <cfRule type="expression" dxfId="7702" priority="25">
      <formula>AND(B$9&gt;=8/24,B$9&lt;14/24)</formula>
    </cfRule>
    <cfRule type="expression" dxfId="7701" priority="26">
      <formula>B$9&lt;8/24</formula>
    </cfRule>
  </conditionalFormatting>
  <conditionalFormatting sqref="B39:C41">
    <cfRule type="expression" dxfId="7700" priority="19">
      <formula>B$9&gt;=20/24</formula>
    </cfRule>
    <cfRule type="expression" dxfId="7699" priority="20">
      <formula>AND(B$9&gt;=14/24,B$9&lt;20/24)</formula>
    </cfRule>
    <cfRule type="expression" dxfId="7698" priority="21">
      <formula>AND(B$9&gt;=8/24,B$9&lt;14/24)</formula>
    </cfRule>
    <cfRule type="expression" dxfId="7697" priority="22">
      <formula>B$9&lt;8/24</formula>
    </cfRule>
  </conditionalFormatting>
  <conditionalFormatting sqref="B39:C41">
    <cfRule type="expression" dxfId="7696" priority="18">
      <formula>B39&gt;$AG39</formula>
    </cfRule>
  </conditionalFormatting>
  <conditionalFormatting sqref="B42">
    <cfRule type="expression" dxfId="7695" priority="14">
      <formula>B$9&gt;=20/24</formula>
    </cfRule>
    <cfRule type="expression" dxfId="7694" priority="15">
      <formula>AND(B$9&gt;=14/24,B$9&lt;20/24)</formula>
    </cfRule>
    <cfRule type="expression" dxfId="7693" priority="16">
      <formula>AND(B$9&gt;=8/24,B$9&lt;14/24)</formula>
    </cfRule>
    <cfRule type="expression" dxfId="7692" priority="17">
      <formula>B$9&lt;8/24</formula>
    </cfRule>
  </conditionalFormatting>
  <conditionalFormatting sqref="B42">
    <cfRule type="expression" dxfId="7691" priority="13">
      <formula>B42&gt;$AG42</formula>
    </cfRule>
  </conditionalFormatting>
  <conditionalFormatting sqref="B97">
    <cfRule type="expression" dxfId="7690" priority="9">
      <formula>B$9&gt;=20/24</formula>
    </cfRule>
    <cfRule type="expression" dxfId="7689" priority="10">
      <formula>AND(B$9&gt;=14/24,B$9&lt;20/24)</formula>
    </cfRule>
    <cfRule type="expression" dxfId="7688" priority="11">
      <formula>AND(B$9&gt;=8/24,B$9&lt;14/24)</formula>
    </cfRule>
    <cfRule type="expression" dxfId="7687" priority="12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1" id="{D365E9D0-4A43-446F-AE79-0947FF191D7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2" id="{56E36043-5484-47E9-BB4E-B201972BBC7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3" id="{92D71C04-DD81-4902-B12D-084A9AB702E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4" id="{DBE2A181-C8FB-41BB-9072-1D8BB2A5352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C80:AF80 M31:R31 AB31:AF31</xm:sqref>
        </x14:conditionalFormatting>
        <x14:conditionalFormatting xmlns:xm="http://schemas.microsoft.com/office/excel/2006/main">
          <x14:cfRule type="expression" priority="110" id="{4ED83FC5-C2AE-4C12-BA06-F089D6E69E79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M31:R31 AB31:AF31</xm:sqref>
        </x14:conditionalFormatting>
        <x14:conditionalFormatting xmlns:xm="http://schemas.microsoft.com/office/excel/2006/main">
          <x14:cfRule type="expression" priority="103" id="{218D7FDC-28E5-4359-9E68-0F47C0E9CA4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4" id="{BCC43390-D6BB-4A64-9752-A0DA8D5CF04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5" id="{BB194DBA-D639-49D0-8CF7-3DF1A896764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6" id="{62A3C553-03E3-4A78-8A74-262038E3A6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5" id="{C08F1A27-B457-4B15-A1E7-06163921763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F60D1C56-7B3D-4E74-B451-6ABE4805FAA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8D0CD6B4-757D-4474-BC5F-F2F37EE9E1C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A4B118CE-C698-4333-BB1D-4D579E3731C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</xm:sqref>
        </x14:conditionalFormatting>
        <x14:conditionalFormatting xmlns:xm="http://schemas.microsoft.com/office/excel/2006/main">
          <x14:cfRule type="expression" priority="1" id="{FE70B9F1-7D21-42C3-BF46-A07D1397B25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" id="{2E9B1AEA-1087-4EF3-A683-F55AF00C23E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" id="{16895EA6-0A0F-47D0-9A08-8752433C183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" id="{8AA80769-A6F3-4D57-BAFE-9A46292A7B9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CJ493"/>
  <sheetViews>
    <sheetView zoomScaleNormal="100" workbookViewId="0">
      <pane xSplit="1" ySplit="10" topLeftCell="B92" activePane="bottomRight" state="frozen"/>
      <selection activeCell="AF88" sqref="AF88"/>
      <selection pane="topRight" activeCell="AF88" sqref="AF88"/>
      <selection pane="bottomLeft" activeCell="AF88" sqref="AF88"/>
      <selection pane="bottomRight" activeCell="AB101" sqref="AB101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2079/02/4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37.400000000000006</v>
      </c>
      <c r="C5" s="205">
        <f t="shared" si="0"/>
        <v>35.799999999999997</v>
      </c>
      <c r="D5" s="205">
        <f t="shared" si="0"/>
        <v>14.8</v>
      </c>
      <c r="E5" s="205">
        <f t="shared" si="0"/>
        <v>14.8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23.6</v>
      </c>
      <c r="K5" s="205">
        <f t="shared" si="0"/>
        <v>44</v>
      </c>
      <c r="L5" s="205">
        <f t="shared" si="0"/>
        <v>39</v>
      </c>
      <c r="M5" s="205">
        <f t="shared" si="0"/>
        <v>39</v>
      </c>
      <c r="N5" s="205">
        <f t="shared" si="0"/>
        <v>48</v>
      </c>
      <c r="O5" s="205">
        <f t="shared" si="0"/>
        <v>62</v>
      </c>
      <c r="P5" s="205">
        <f t="shared" si="0"/>
        <v>29</v>
      </c>
      <c r="Q5" s="205">
        <f t="shared" si="0"/>
        <v>0</v>
      </c>
      <c r="R5" s="205">
        <f t="shared" si="0"/>
        <v>30.5</v>
      </c>
      <c r="S5" s="205">
        <f t="shared" si="0"/>
        <v>36.5</v>
      </c>
      <c r="T5" s="205">
        <f t="shared" si="0"/>
        <v>28.2</v>
      </c>
      <c r="U5" s="205">
        <f t="shared" si="0"/>
        <v>32.1</v>
      </c>
      <c r="V5" s="205">
        <f t="shared" si="0"/>
        <v>26.5</v>
      </c>
      <c r="W5" s="205">
        <f t="shared" si="0"/>
        <v>21.4</v>
      </c>
      <c r="X5" s="205">
        <f t="shared" si="0"/>
        <v>25.7</v>
      </c>
      <c r="Y5" s="205">
        <f t="shared" si="0"/>
        <v>29.7</v>
      </c>
      <c r="Z5" s="205">
        <f t="shared" si="0"/>
        <v>35.5</v>
      </c>
      <c r="AA5" s="205">
        <f t="shared" si="0"/>
        <v>42.8</v>
      </c>
      <c r="AB5" s="205">
        <f t="shared" si="0"/>
        <v>49.3</v>
      </c>
      <c r="AC5" s="205">
        <f t="shared" si="0"/>
        <v>49.6</v>
      </c>
      <c r="AD5" s="205">
        <f t="shared" si="0"/>
        <v>47.69</v>
      </c>
      <c r="AE5" s="205">
        <f t="shared" si="0"/>
        <v>45</v>
      </c>
      <c r="AF5" s="205">
        <f>B72</f>
        <v>29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1794MW at 7:30hr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Load=1182</v>
      </c>
      <c r="B7" s="210">
        <f>B79</f>
        <v>1827.6399999999999</v>
      </c>
      <c r="C7" s="210">
        <f t="shared" ref="C7:AF7" si="1">C79</f>
        <v>1794.3400000000001</v>
      </c>
      <c r="D7" s="210">
        <f t="shared" si="1"/>
        <v>1788.4399999999998</v>
      </c>
      <c r="E7" s="210">
        <f t="shared" si="1"/>
        <v>1771.34</v>
      </c>
      <c r="F7" s="210">
        <f t="shared" si="1"/>
        <v>1724.24</v>
      </c>
      <c r="G7" s="210">
        <f t="shared" si="1"/>
        <v>1729.44</v>
      </c>
      <c r="H7" s="210">
        <f t="shared" si="1"/>
        <v>1729.44</v>
      </c>
      <c r="I7" s="210">
        <f t="shared" si="1"/>
        <v>1734.44</v>
      </c>
      <c r="J7" s="210">
        <f t="shared" si="1"/>
        <v>1740.94</v>
      </c>
      <c r="K7" s="210">
        <f t="shared" si="1"/>
        <v>1762.24</v>
      </c>
      <c r="L7" s="210">
        <f t="shared" si="1"/>
        <v>1794.24</v>
      </c>
      <c r="M7" s="210">
        <f t="shared" si="1"/>
        <v>1779.24</v>
      </c>
      <c r="N7" s="210">
        <f t="shared" si="1"/>
        <v>1767.24</v>
      </c>
      <c r="O7" s="210">
        <f t="shared" si="1"/>
        <v>1654.94</v>
      </c>
      <c r="P7" s="210">
        <f t="shared" si="1"/>
        <v>1609.94</v>
      </c>
      <c r="Q7" s="210">
        <f t="shared" si="1"/>
        <v>1591.54</v>
      </c>
      <c r="R7" s="210">
        <f t="shared" si="1"/>
        <v>1181.94</v>
      </c>
      <c r="S7" s="210">
        <f t="shared" si="1"/>
        <v>1653.1399999999999</v>
      </c>
      <c r="T7" s="210">
        <f t="shared" si="1"/>
        <v>1640.84</v>
      </c>
      <c r="U7" s="210">
        <f t="shared" si="1"/>
        <v>1611.74</v>
      </c>
      <c r="V7" s="210">
        <f t="shared" si="1"/>
        <v>1617.54</v>
      </c>
      <c r="W7" s="210">
        <f t="shared" si="1"/>
        <v>1628.04</v>
      </c>
      <c r="X7" s="210">
        <f t="shared" si="1"/>
        <v>1664.54</v>
      </c>
      <c r="Y7" s="210">
        <f t="shared" si="1"/>
        <v>1706.84</v>
      </c>
      <c r="Z7" s="210">
        <f t="shared" si="1"/>
        <v>1789.6399999999999</v>
      </c>
      <c r="AA7" s="210">
        <f t="shared" si="1"/>
        <v>1841.54</v>
      </c>
      <c r="AB7" s="210">
        <f t="shared" si="1"/>
        <v>1786.64</v>
      </c>
      <c r="AC7" s="210">
        <f t="shared" si="1"/>
        <v>1808.14</v>
      </c>
      <c r="AD7" s="210">
        <f t="shared" si="1"/>
        <v>1772.04</v>
      </c>
      <c r="AE7" s="210">
        <f t="shared" si="1"/>
        <v>1808.13</v>
      </c>
      <c r="AF7" s="210">
        <f t="shared" si="1"/>
        <v>1816.04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53.7</v>
      </c>
      <c r="C11" s="221">
        <v>53.7</v>
      </c>
      <c r="D11" s="221">
        <v>53.7</v>
      </c>
      <c r="E11" s="221">
        <v>53.7</v>
      </c>
      <c r="F11" s="221">
        <v>53.7</v>
      </c>
      <c r="G11" s="221">
        <v>53.7</v>
      </c>
      <c r="H11" s="221">
        <v>53.7</v>
      </c>
      <c r="I11" s="221">
        <v>53.7</v>
      </c>
      <c r="J11" s="221">
        <v>53.7</v>
      </c>
      <c r="K11" s="221">
        <v>53.7</v>
      </c>
      <c r="L11" s="221">
        <v>53.7</v>
      </c>
      <c r="M11" s="221">
        <v>53.7</v>
      </c>
      <c r="N11" s="221">
        <v>53.7</v>
      </c>
      <c r="O11" s="221">
        <v>53.7</v>
      </c>
      <c r="P11" s="221">
        <v>53.7</v>
      </c>
      <c r="Q11" s="221">
        <v>53.7</v>
      </c>
      <c r="R11" s="221">
        <v>53.7</v>
      </c>
      <c r="S11" s="224">
        <v>53.8</v>
      </c>
      <c r="T11" s="224">
        <v>53.8</v>
      </c>
      <c r="U11" s="224">
        <v>53.8</v>
      </c>
      <c r="V11" s="224">
        <v>53.8</v>
      </c>
      <c r="W11" s="224">
        <v>53.7</v>
      </c>
      <c r="X11" s="224">
        <v>53.7</v>
      </c>
      <c r="Y11" s="224">
        <v>53.7</v>
      </c>
      <c r="Z11" s="224">
        <v>53.6</v>
      </c>
      <c r="AA11" s="224">
        <v>53.6</v>
      </c>
      <c r="AB11" s="224">
        <v>53.7</v>
      </c>
      <c r="AC11" s="224">
        <v>53.7</v>
      </c>
      <c r="AD11" s="224">
        <v>53.7</v>
      </c>
      <c r="AE11" s="224">
        <v>53.7</v>
      </c>
      <c r="AF11" s="224">
        <v>53.7</v>
      </c>
      <c r="AG11" s="225">
        <v>52.4</v>
      </c>
      <c r="AH11" s="226">
        <f>MAX(B11:AF11)</f>
        <v>53.8</v>
      </c>
      <c r="AI11" s="227">
        <f>MIN(B11:AF11)</f>
        <v>53.6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50.5</v>
      </c>
      <c r="C12" s="221">
        <v>50.5</v>
      </c>
      <c r="D12" s="221">
        <v>50.5</v>
      </c>
      <c r="E12" s="221">
        <v>50.5</v>
      </c>
      <c r="F12" s="221">
        <v>50.5</v>
      </c>
      <c r="G12" s="221">
        <v>50.5</v>
      </c>
      <c r="H12" s="221">
        <v>50.5</v>
      </c>
      <c r="I12" s="221">
        <v>50.5</v>
      </c>
      <c r="J12" s="221">
        <v>50.5</v>
      </c>
      <c r="K12" s="221">
        <v>20</v>
      </c>
      <c r="L12" s="221">
        <v>20</v>
      </c>
      <c r="M12" s="221">
        <v>20</v>
      </c>
      <c r="N12" s="221">
        <v>20</v>
      </c>
      <c r="O12" s="221">
        <v>20</v>
      </c>
      <c r="P12" s="221">
        <v>20</v>
      </c>
      <c r="Q12" s="221">
        <v>20</v>
      </c>
      <c r="R12" s="221">
        <v>20</v>
      </c>
      <c r="S12" s="221">
        <v>50.7</v>
      </c>
      <c r="T12" s="221">
        <v>50.7</v>
      </c>
      <c r="U12" s="221">
        <v>50.3</v>
      </c>
      <c r="V12" s="221">
        <v>50.5</v>
      </c>
      <c r="W12" s="221">
        <v>50.7</v>
      </c>
      <c r="X12" s="221">
        <v>50.4</v>
      </c>
      <c r="Y12" s="221">
        <v>50.4</v>
      </c>
      <c r="Z12" s="221">
        <v>50.5</v>
      </c>
      <c r="AA12" s="221">
        <v>50.4</v>
      </c>
      <c r="AB12" s="221">
        <v>50.5</v>
      </c>
      <c r="AC12" s="221">
        <v>50.5</v>
      </c>
      <c r="AD12" s="221">
        <v>50.5</v>
      </c>
      <c r="AE12" s="221">
        <v>50.5</v>
      </c>
      <c r="AF12" s="221">
        <v>50.5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20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0</v>
      </c>
      <c r="D13" s="221">
        <v>0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45.8</v>
      </c>
      <c r="T13" s="221">
        <v>45.8</v>
      </c>
      <c r="U13" s="221">
        <v>45.8</v>
      </c>
      <c r="V13" s="221">
        <v>45.9</v>
      </c>
      <c r="W13" s="221">
        <v>46</v>
      </c>
      <c r="X13" s="221">
        <v>45.9</v>
      </c>
      <c r="Y13" s="221">
        <v>45.9</v>
      </c>
      <c r="Z13" s="221">
        <v>45.9</v>
      </c>
      <c r="AA13" s="221">
        <v>45.8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37</v>
      </c>
      <c r="C14" s="221">
        <v>32</v>
      </c>
      <c r="D14" s="221">
        <v>30</v>
      </c>
      <c r="E14" s="221">
        <v>35</v>
      </c>
      <c r="F14" s="221">
        <v>30</v>
      </c>
      <c r="G14" s="221">
        <v>30</v>
      </c>
      <c r="H14" s="221">
        <v>30</v>
      </c>
      <c r="I14" s="221">
        <v>30</v>
      </c>
      <c r="J14" s="221">
        <v>30</v>
      </c>
      <c r="K14" s="221">
        <v>35</v>
      </c>
      <c r="L14" s="221">
        <v>35</v>
      </c>
      <c r="M14" s="221">
        <v>30</v>
      </c>
      <c r="N14" s="221">
        <v>30</v>
      </c>
      <c r="O14" s="221">
        <v>27</v>
      </c>
      <c r="P14" s="221">
        <v>27</v>
      </c>
      <c r="Q14" s="221">
        <v>27</v>
      </c>
      <c r="R14" s="221">
        <v>27</v>
      </c>
      <c r="S14" s="221">
        <v>27</v>
      </c>
      <c r="T14" s="221">
        <v>27</v>
      </c>
      <c r="U14" s="221">
        <v>20</v>
      </c>
      <c r="V14" s="221">
        <v>20</v>
      </c>
      <c r="W14" s="221">
        <v>20</v>
      </c>
      <c r="X14" s="221">
        <v>20</v>
      </c>
      <c r="Y14" s="221">
        <v>20</v>
      </c>
      <c r="Z14" s="221">
        <v>40</v>
      </c>
      <c r="AA14" s="221">
        <v>40</v>
      </c>
      <c r="AB14" s="221">
        <v>40</v>
      </c>
      <c r="AC14" s="221">
        <v>30</v>
      </c>
      <c r="AD14" s="221">
        <v>30</v>
      </c>
      <c r="AE14" s="221">
        <v>35</v>
      </c>
      <c r="AF14" s="221">
        <v>26</v>
      </c>
      <c r="AG14" s="229">
        <v>42</v>
      </c>
      <c r="AH14" s="226">
        <f t="shared" si="2"/>
        <v>40</v>
      </c>
      <c r="AI14" s="227">
        <f t="shared" si="3"/>
        <v>20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30</v>
      </c>
      <c r="D15" s="221">
        <v>30</v>
      </c>
      <c r="E15" s="221">
        <v>10</v>
      </c>
      <c r="F15" s="221">
        <v>10</v>
      </c>
      <c r="G15" s="221">
        <v>20</v>
      </c>
      <c r="H15" s="221">
        <v>20</v>
      </c>
      <c r="I15" s="221">
        <v>20</v>
      </c>
      <c r="J15" s="221">
        <v>20</v>
      </c>
      <c r="K15" s="221">
        <v>20</v>
      </c>
      <c r="L15" s="221">
        <v>20</v>
      </c>
      <c r="M15" s="221">
        <v>15</v>
      </c>
      <c r="N15" s="221">
        <v>15</v>
      </c>
      <c r="O15" s="221">
        <v>11</v>
      </c>
      <c r="P15" s="221">
        <v>11</v>
      </c>
      <c r="Q15" s="221">
        <v>11</v>
      </c>
      <c r="R15" s="221">
        <v>11</v>
      </c>
      <c r="S15" s="221">
        <v>5.2</v>
      </c>
      <c r="T15" s="221">
        <v>5.2</v>
      </c>
      <c r="U15" s="221">
        <v>0</v>
      </c>
      <c r="V15" s="221">
        <v>0</v>
      </c>
      <c r="W15" s="221">
        <v>0</v>
      </c>
      <c r="X15" s="221">
        <v>0</v>
      </c>
      <c r="Y15" s="221">
        <v>0</v>
      </c>
      <c r="Z15" s="221">
        <v>30</v>
      </c>
      <c r="AA15" s="221">
        <v>30</v>
      </c>
      <c r="AB15" s="221">
        <v>29.6</v>
      </c>
      <c r="AC15" s="221">
        <v>29.6</v>
      </c>
      <c r="AD15" s="221">
        <v>29.6</v>
      </c>
      <c r="AE15" s="221">
        <v>29.6</v>
      </c>
      <c r="AF15" s="221">
        <v>29.6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26.3</v>
      </c>
      <c r="C16" s="221">
        <v>26.3</v>
      </c>
      <c r="D16" s="221">
        <v>26.3</v>
      </c>
      <c r="E16" s="221">
        <v>26.3</v>
      </c>
      <c r="F16" s="221">
        <v>26.3</v>
      </c>
      <c r="G16" s="221">
        <v>26.3</v>
      </c>
      <c r="H16" s="221">
        <v>26.3</v>
      </c>
      <c r="I16" s="221">
        <v>26.3</v>
      </c>
      <c r="J16" s="221">
        <v>26.3</v>
      </c>
      <c r="K16" s="221">
        <v>26.3</v>
      </c>
      <c r="L16" s="221">
        <v>26.3</v>
      </c>
      <c r="M16" s="221">
        <v>26.3</v>
      </c>
      <c r="N16" s="221">
        <v>26.3</v>
      </c>
      <c r="O16" s="221">
        <v>26.3</v>
      </c>
      <c r="P16" s="221">
        <v>26.3</v>
      </c>
      <c r="Q16" s="221">
        <v>26.3</v>
      </c>
      <c r="R16" s="221">
        <v>26.3</v>
      </c>
      <c r="S16" s="221">
        <v>25.3</v>
      </c>
      <c r="T16" s="221">
        <v>25.3</v>
      </c>
      <c r="U16" s="221">
        <v>25.2</v>
      </c>
      <c r="V16" s="221">
        <v>25.6</v>
      </c>
      <c r="W16" s="221">
        <v>25.6</v>
      </c>
      <c r="X16" s="221">
        <v>25.6</v>
      </c>
      <c r="Y16" s="221">
        <v>25.6</v>
      </c>
      <c r="Z16" s="221">
        <v>25.6</v>
      </c>
      <c r="AA16" s="221">
        <v>26.3</v>
      </c>
      <c r="AB16" s="221">
        <v>26.3</v>
      </c>
      <c r="AC16" s="221">
        <v>26.3</v>
      </c>
      <c r="AD16" s="221">
        <v>26.3</v>
      </c>
      <c r="AE16" s="221">
        <v>26.3</v>
      </c>
      <c r="AF16" s="221">
        <v>26.3</v>
      </c>
      <c r="AG16" s="229">
        <v>25</v>
      </c>
      <c r="AH16" s="226">
        <f t="shared" si="2"/>
        <v>26.3</v>
      </c>
      <c r="AI16" s="227">
        <f t="shared" si="3"/>
        <v>25.2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12.5</v>
      </c>
      <c r="AB17" s="221">
        <v>0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33.299999999999997</v>
      </c>
      <c r="C19" s="221">
        <v>33.299999999999997</v>
      </c>
      <c r="D19" s="221">
        <v>33.299999999999997</v>
      </c>
      <c r="E19" s="221">
        <v>33.299999999999997</v>
      </c>
      <c r="F19" s="221">
        <v>33.299999999999997</v>
      </c>
      <c r="G19" s="221">
        <v>33.299999999999997</v>
      </c>
      <c r="H19" s="221">
        <v>33.299999999999997</v>
      </c>
      <c r="I19" s="221">
        <v>33.299999999999997</v>
      </c>
      <c r="J19" s="221">
        <v>33.299999999999997</v>
      </c>
      <c r="K19" s="221">
        <v>33.299999999999997</v>
      </c>
      <c r="L19" s="221">
        <v>33.299999999999997</v>
      </c>
      <c r="M19" s="221">
        <v>33.299999999999997</v>
      </c>
      <c r="N19" s="221">
        <v>33.299999999999997</v>
      </c>
      <c r="O19" s="221">
        <v>26</v>
      </c>
      <c r="P19" s="221">
        <v>26</v>
      </c>
      <c r="Q19" s="221">
        <v>26</v>
      </c>
      <c r="R19" s="221">
        <v>26</v>
      </c>
      <c r="S19" s="221">
        <v>26</v>
      </c>
      <c r="T19" s="221">
        <v>26</v>
      </c>
      <c r="U19" s="221">
        <v>19</v>
      </c>
      <c r="V19" s="221">
        <v>19</v>
      </c>
      <c r="W19" s="221">
        <v>19</v>
      </c>
      <c r="X19" s="221">
        <v>12</v>
      </c>
      <c r="Y19" s="221">
        <v>0</v>
      </c>
      <c r="Z19" s="221">
        <v>0</v>
      </c>
      <c r="AA19" s="221">
        <v>19.8</v>
      </c>
      <c r="AB19" s="221">
        <v>19.8</v>
      </c>
      <c r="AC19" s="221">
        <v>19.8</v>
      </c>
      <c r="AD19" s="221">
        <v>7.4</v>
      </c>
      <c r="AE19" s="221">
        <v>13.4</v>
      </c>
      <c r="AF19" s="221">
        <v>33</v>
      </c>
      <c r="AG19" s="229">
        <v>24.2</v>
      </c>
      <c r="AH19" s="226">
        <f t="shared" si="2"/>
        <v>33.299999999999997</v>
      </c>
      <c r="AI19" s="227">
        <f t="shared" si="3"/>
        <v>0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23.6</v>
      </c>
      <c r="C20" s="221">
        <v>23.6</v>
      </c>
      <c r="D20" s="221">
        <v>23.6</v>
      </c>
      <c r="E20" s="221">
        <v>23.6</v>
      </c>
      <c r="F20" s="221">
        <v>23.6</v>
      </c>
      <c r="G20" s="221">
        <v>23.6</v>
      </c>
      <c r="H20" s="221">
        <v>23.6</v>
      </c>
      <c r="I20" s="221">
        <v>23.6</v>
      </c>
      <c r="J20" s="221">
        <v>23.6</v>
      </c>
      <c r="K20" s="221">
        <v>23.6</v>
      </c>
      <c r="L20" s="221">
        <v>23.6</v>
      </c>
      <c r="M20" s="221">
        <v>23.6</v>
      </c>
      <c r="N20" s="221">
        <v>23.6</v>
      </c>
      <c r="O20" s="221">
        <v>23.6</v>
      </c>
      <c r="P20" s="221">
        <v>23.6</v>
      </c>
      <c r="Q20" s="221">
        <v>23.6</v>
      </c>
      <c r="R20" s="221">
        <v>23.6</v>
      </c>
      <c r="S20" s="221">
        <v>23.6</v>
      </c>
      <c r="T20" s="221">
        <v>23.6</v>
      </c>
      <c r="U20" s="221">
        <v>23.6</v>
      </c>
      <c r="V20" s="221">
        <v>23.6</v>
      </c>
      <c r="W20" s="221">
        <v>23.6</v>
      </c>
      <c r="X20" s="221">
        <v>23.6</v>
      </c>
      <c r="Y20" s="221">
        <v>23.6</v>
      </c>
      <c r="Z20" s="221">
        <v>23.6</v>
      </c>
      <c r="AA20" s="221">
        <v>23.1</v>
      </c>
      <c r="AB20" s="221">
        <v>23.1</v>
      </c>
      <c r="AC20" s="221">
        <v>23.1</v>
      </c>
      <c r="AD20" s="221">
        <v>23.1</v>
      </c>
      <c r="AE20" s="221">
        <v>23.1</v>
      </c>
      <c r="AF20" s="221">
        <v>23.1</v>
      </c>
      <c r="AG20" s="229">
        <v>23.5</v>
      </c>
      <c r="AH20" s="226">
        <f t="shared" si="2"/>
        <v>23.6</v>
      </c>
      <c r="AI20" s="227">
        <f t="shared" si="3"/>
        <v>23.1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11</v>
      </c>
      <c r="C21" s="221">
        <v>11</v>
      </c>
      <c r="D21" s="221">
        <v>11</v>
      </c>
      <c r="E21" s="221">
        <v>11</v>
      </c>
      <c r="F21" s="221">
        <v>11</v>
      </c>
      <c r="G21" s="221">
        <v>11</v>
      </c>
      <c r="H21" s="221">
        <v>11</v>
      </c>
      <c r="I21" s="221">
        <v>11</v>
      </c>
      <c r="J21" s="221">
        <v>11</v>
      </c>
      <c r="K21" s="221">
        <v>11</v>
      </c>
      <c r="L21" s="221">
        <v>11</v>
      </c>
      <c r="M21" s="221">
        <v>11</v>
      </c>
      <c r="N21" s="221">
        <v>11</v>
      </c>
      <c r="O21" s="221">
        <v>11</v>
      </c>
      <c r="P21" s="221">
        <v>11</v>
      </c>
      <c r="Q21" s="221">
        <v>11</v>
      </c>
      <c r="R21" s="221">
        <v>11</v>
      </c>
      <c r="S21" s="221">
        <v>11</v>
      </c>
      <c r="T21" s="221">
        <v>11</v>
      </c>
      <c r="U21" s="221">
        <v>11</v>
      </c>
      <c r="V21" s="221">
        <v>11</v>
      </c>
      <c r="W21" s="221">
        <v>11</v>
      </c>
      <c r="X21" s="221">
        <v>11</v>
      </c>
      <c r="Y21" s="221">
        <v>11</v>
      </c>
      <c r="Z21" s="221">
        <v>11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11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0</v>
      </c>
      <c r="G22" s="221">
        <v>10</v>
      </c>
      <c r="H22" s="221">
        <v>10</v>
      </c>
      <c r="I22" s="221">
        <v>10</v>
      </c>
      <c r="J22" s="221">
        <v>15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0</v>
      </c>
      <c r="F24" s="221">
        <v>0</v>
      </c>
      <c r="G24" s="221">
        <v>0</v>
      </c>
      <c r="H24" s="221">
        <v>0</v>
      </c>
      <c r="I24" s="221">
        <v>0</v>
      </c>
      <c r="J24" s="221">
        <v>0</v>
      </c>
      <c r="K24" s="221">
        <v>0</v>
      </c>
      <c r="L24" s="221">
        <v>0</v>
      </c>
      <c r="M24" s="221">
        <v>0</v>
      </c>
      <c r="N24" s="221">
        <v>0</v>
      </c>
      <c r="O24" s="221">
        <v>0</v>
      </c>
      <c r="P24" s="221">
        <v>0</v>
      </c>
      <c r="Q24" s="221">
        <v>0</v>
      </c>
      <c r="R24" s="221">
        <v>0</v>
      </c>
      <c r="S24" s="221">
        <v>20</v>
      </c>
      <c r="T24" s="221">
        <v>20</v>
      </c>
      <c r="U24" s="221">
        <v>20</v>
      </c>
      <c r="V24" s="221">
        <v>22</v>
      </c>
      <c r="W24" s="221">
        <v>22</v>
      </c>
      <c r="X24" s="221">
        <v>22</v>
      </c>
      <c r="Y24" s="221">
        <v>22</v>
      </c>
      <c r="Z24" s="221">
        <v>0</v>
      </c>
      <c r="AA24" s="221">
        <v>22</v>
      </c>
      <c r="AB24" s="221">
        <v>22</v>
      </c>
      <c r="AC24" s="221">
        <v>22</v>
      </c>
      <c r="AD24" s="221">
        <v>0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10</v>
      </c>
      <c r="D25" s="221">
        <v>10</v>
      </c>
      <c r="E25" s="221">
        <v>5</v>
      </c>
      <c r="F25" s="221">
        <v>5</v>
      </c>
      <c r="G25" s="221">
        <v>5</v>
      </c>
      <c r="H25" s="221">
        <v>5</v>
      </c>
      <c r="I25" s="221">
        <v>10</v>
      </c>
      <c r="J25" s="221">
        <v>10</v>
      </c>
      <c r="K25" s="221">
        <v>10</v>
      </c>
      <c r="L25" s="221">
        <v>20</v>
      </c>
      <c r="M25" s="221">
        <v>20</v>
      </c>
      <c r="N25" s="221">
        <v>20</v>
      </c>
      <c r="O25" s="221">
        <v>20</v>
      </c>
      <c r="P25" s="221">
        <v>20</v>
      </c>
      <c r="Q25" s="221">
        <v>20</v>
      </c>
      <c r="R25" s="221">
        <v>20</v>
      </c>
      <c r="S25" s="221">
        <v>20</v>
      </c>
      <c r="T25" s="221">
        <v>5</v>
      </c>
      <c r="U25" s="221">
        <v>0</v>
      </c>
      <c r="V25" s="221">
        <v>0</v>
      </c>
      <c r="W25" s="221">
        <v>0</v>
      </c>
      <c r="X25" s="221">
        <v>0</v>
      </c>
      <c r="Y25" s="221">
        <v>0</v>
      </c>
      <c r="Z25" s="221">
        <v>15</v>
      </c>
      <c r="AA25" s="221">
        <v>15</v>
      </c>
      <c r="AB25" s="221">
        <v>15</v>
      </c>
      <c r="AC25" s="221">
        <v>15</v>
      </c>
      <c r="AD25" s="221">
        <v>15</v>
      </c>
      <c r="AE25" s="221">
        <v>20</v>
      </c>
      <c r="AF25" s="221">
        <v>20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0</v>
      </c>
      <c r="AB28" s="221">
        <v>0</v>
      </c>
      <c r="AC28" s="221">
        <v>0</v>
      </c>
      <c r="AD28" s="221">
        <v>0</v>
      </c>
      <c r="AE28" s="221">
        <v>0</v>
      </c>
      <c r="AF28" s="221">
        <v>0</v>
      </c>
      <c r="AG28" s="229">
        <v>13</v>
      </c>
      <c r="AH28" s="226">
        <f t="shared" si="2"/>
        <v>13</v>
      </c>
      <c r="AI28" s="227">
        <f t="shared" si="3"/>
        <v>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8</v>
      </c>
      <c r="AG29" s="229">
        <v>12</v>
      </c>
      <c r="AH29" s="226">
        <f t="shared" si="2"/>
        <v>12</v>
      </c>
      <c r="AI29" s="227">
        <f t="shared" si="3"/>
        <v>8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/>
      <c r="O31" s="221"/>
      <c r="P31" s="221"/>
      <c r="Q31" s="221"/>
      <c r="R31" s="221"/>
      <c r="S31" s="349">
        <v>10</v>
      </c>
      <c r="T31" s="349">
        <v>10</v>
      </c>
      <c r="U31" s="349">
        <v>10</v>
      </c>
      <c r="V31" s="349">
        <v>10</v>
      </c>
      <c r="W31" s="349">
        <v>10</v>
      </c>
      <c r="X31" s="349">
        <v>10</v>
      </c>
      <c r="Y31" s="349">
        <v>10</v>
      </c>
      <c r="Z31" s="349">
        <v>10</v>
      </c>
      <c r="AA31" s="349">
        <v>12</v>
      </c>
      <c r="AB31" s="350">
        <v>12</v>
      </c>
      <c r="AC31" s="350">
        <v>12</v>
      </c>
      <c r="AD31" s="350">
        <v>12</v>
      </c>
      <c r="AE31" s="350">
        <v>12</v>
      </c>
      <c r="AF31" s="350">
        <v>12</v>
      </c>
      <c r="AG31" s="231">
        <v>22</v>
      </c>
      <c r="AH31" s="226">
        <f>MAX(B31:AF31)</f>
        <v>12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>
        <v>11</v>
      </c>
      <c r="F32" s="221">
        <v>11</v>
      </c>
      <c r="G32" s="221">
        <v>11</v>
      </c>
      <c r="H32" s="221">
        <v>11</v>
      </c>
      <c r="I32" s="221">
        <v>11</v>
      </c>
      <c r="J32" s="221">
        <v>11</v>
      </c>
      <c r="K32" s="221">
        <v>11</v>
      </c>
      <c r="L32" s="221">
        <v>11</v>
      </c>
      <c r="M32" s="221">
        <v>11</v>
      </c>
      <c r="N32" s="221">
        <v>11</v>
      </c>
      <c r="O32" s="221">
        <v>11</v>
      </c>
      <c r="P32" s="221">
        <v>11</v>
      </c>
      <c r="Q32" s="221">
        <v>11</v>
      </c>
      <c r="R32" s="221">
        <v>11</v>
      </c>
      <c r="S32" s="221">
        <v>11</v>
      </c>
      <c r="T32" s="221">
        <v>11</v>
      </c>
      <c r="U32" s="221">
        <v>11</v>
      </c>
      <c r="V32" s="221">
        <v>11</v>
      </c>
      <c r="W32" s="221">
        <v>11</v>
      </c>
      <c r="X32" s="221">
        <v>11</v>
      </c>
      <c r="Y32" s="221">
        <v>11</v>
      </c>
      <c r="Z32" s="221">
        <v>11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10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327</v>
      </c>
      <c r="C36" s="237">
        <v>327</v>
      </c>
      <c r="D36" s="237">
        <v>327</v>
      </c>
      <c r="E36" s="237">
        <v>327</v>
      </c>
      <c r="F36" s="237">
        <v>327</v>
      </c>
      <c r="G36" s="237">
        <v>327</v>
      </c>
      <c r="H36" s="237">
        <v>327</v>
      </c>
      <c r="I36" s="237">
        <v>327</v>
      </c>
      <c r="J36" s="237">
        <v>327</v>
      </c>
      <c r="K36" s="237">
        <v>327</v>
      </c>
      <c r="L36" s="237">
        <v>327</v>
      </c>
      <c r="M36" s="237">
        <v>327</v>
      </c>
      <c r="N36" s="237">
        <v>327</v>
      </c>
      <c r="O36" s="237">
        <v>327</v>
      </c>
      <c r="P36" s="237">
        <v>327</v>
      </c>
      <c r="Q36" s="237">
        <v>327</v>
      </c>
      <c r="R36" s="237">
        <v>327</v>
      </c>
      <c r="S36" s="237">
        <v>327</v>
      </c>
      <c r="T36" s="237">
        <v>327</v>
      </c>
      <c r="U36" s="237">
        <v>327</v>
      </c>
      <c r="V36" s="237">
        <v>327</v>
      </c>
      <c r="W36" s="237">
        <v>327</v>
      </c>
      <c r="X36" s="237">
        <v>327</v>
      </c>
      <c r="Y36" s="237">
        <v>327</v>
      </c>
      <c r="Z36" s="237">
        <v>327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327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0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862.3</v>
      </c>
      <c r="C38" s="241">
        <f t="shared" si="4"/>
        <v>811.3</v>
      </c>
      <c r="D38" s="241">
        <f t="shared" si="4"/>
        <v>809.3</v>
      </c>
      <c r="E38" s="241">
        <f t="shared" si="4"/>
        <v>813.2</v>
      </c>
      <c r="F38" s="241">
        <f t="shared" si="4"/>
        <v>786.2</v>
      </c>
      <c r="G38" s="241">
        <f t="shared" si="4"/>
        <v>806.2</v>
      </c>
      <c r="H38" s="241">
        <f t="shared" si="4"/>
        <v>806.2</v>
      </c>
      <c r="I38" s="241">
        <f t="shared" si="4"/>
        <v>811.2</v>
      </c>
      <c r="J38" s="241">
        <f t="shared" si="4"/>
        <v>816.2</v>
      </c>
      <c r="K38" s="241">
        <f t="shared" si="4"/>
        <v>797.7</v>
      </c>
      <c r="L38" s="241">
        <f t="shared" si="4"/>
        <v>807.7</v>
      </c>
      <c r="M38" s="241">
        <f t="shared" si="4"/>
        <v>797.7</v>
      </c>
      <c r="N38" s="241">
        <f t="shared" si="4"/>
        <v>785.7</v>
      </c>
      <c r="O38" s="241">
        <f t="shared" si="4"/>
        <v>771.4</v>
      </c>
      <c r="P38" s="241">
        <f t="shared" si="4"/>
        <v>771.4</v>
      </c>
      <c r="Q38" s="241">
        <f t="shared" si="4"/>
        <v>771.4</v>
      </c>
      <c r="R38" s="241">
        <f t="shared" si="4"/>
        <v>771.4</v>
      </c>
      <c r="S38" s="241">
        <f t="shared" si="4"/>
        <v>825.3</v>
      </c>
      <c r="T38" s="241">
        <f t="shared" si="4"/>
        <v>810.3</v>
      </c>
      <c r="U38" s="241">
        <f t="shared" si="4"/>
        <v>785.59999999999991</v>
      </c>
      <c r="V38" s="241">
        <f t="shared" si="4"/>
        <v>788.3</v>
      </c>
      <c r="W38" s="241">
        <f t="shared" si="4"/>
        <v>788.5</v>
      </c>
      <c r="X38" s="241">
        <f t="shared" si="4"/>
        <v>781.1</v>
      </c>
      <c r="Y38" s="241">
        <f t="shared" si="4"/>
        <v>769.09999999999991</v>
      </c>
      <c r="Z38" s="241">
        <f t="shared" si="4"/>
        <v>812.1</v>
      </c>
      <c r="AA38" s="241">
        <f t="shared" si="4"/>
        <v>807.90000000000009</v>
      </c>
      <c r="AB38" s="241">
        <f t="shared" si="4"/>
        <v>795.40000000000009</v>
      </c>
      <c r="AC38" s="241">
        <f t="shared" si="4"/>
        <v>810.40000000000009</v>
      </c>
      <c r="AD38" s="241">
        <f t="shared" si="4"/>
        <v>776</v>
      </c>
      <c r="AE38" s="241">
        <f t="shared" si="4"/>
        <v>814</v>
      </c>
      <c r="AF38" s="241">
        <f t="shared" si="4"/>
        <v>824.6</v>
      </c>
      <c r="AG38" s="242">
        <f t="shared" si="4"/>
        <v>665.78</v>
      </c>
      <c r="AH38" s="226">
        <f t="shared" si="2"/>
        <v>862.3</v>
      </c>
      <c r="AI38" s="227">
        <f t="shared" si="3"/>
        <v>769.09999999999991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349</v>
      </c>
      <c r="P39" s="221">
        <v>305</v>
      </c>
      <c r="Q39" s="221">
        <v>380</v>
      </c>
      <c r="R39" s="221">
        <v>325</v>
      </c>
      <c r="S39" s="221">
        <v>325</v>
      </c>
      <c r="T39" s="221">
        <v>325</v>
      </c>
      <c r="U39" s="221">
        <v>330</v>
      </c>
      <c r="V39" s="221">
        <v>330</v>
      </c>
      <c r="W39" s="221">
        <v>330</v>
      </c>
      <c r="X39" s="221">
        <v>380</v>
      </c>
      <c r="Y39" s="221">
        <v>420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305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431</v>
      </c>
      <c r="P42" s="241">
        <f t="shared" si="5"/>
        <v>387</v>
      </c>
      <c r="Q42" s="241">
        <f t="shared" si="5"/>
        <v>462</v>
      </c>
      <c r="R42" s="241">
        <f t="shared" si="5"/>
        <v>407</v>
      </c>
      <c r="S42" s="241">
        <f t="shared" si="5"/>
        <v>407</v>
      </c>
      <c r="T42" s="241">
        <f t="shared" si="5"/>
        <v>407</v>
      </c>
      <c r="U42" s="241">
        <f t="shared" si="5"/>
        <v>412</v>
      </c>
      <c r="V42" s="241">
        <f t="shared" si="5"/>
        <v>412</v>
      </c>
      <c r="W42" s="241">
        <f t="shared" si="5"/>
        <v>412</v>
      </c>
      <c r="X42" s="241">
        <f t="shared" si="5"/>
        <v>462</v>
      </c>
      <c r="Y42" s="241">
        <f t="shared" si="5"/>
        <v>502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387</v>
      </c>
      <c r="AK42" s="228"/>
    </row>
    <row r="43" spans="1:88" x14ac:dyDescent="0.25">
      <c r="A43" s="220" t="s">
        <v>51</v>
      </c>
      <c r="B43" s="221">
        <v>142.5</v>
      </c>
      <c r="C43" s="221">
        <v>142.5</v>
      </c>
      <c r="D43" s="221">
        <v>142.5</v>
      </c>
      <c r="E43" s="221">
        <v>142.5</v>
      </c>
      <c r="F43" s="221">
        <v>142.5</v>
      </c>
      <c r="G43" s="221">
        <v>142.5</v>
      </c>
      <c r="H43" s="221">
        <v>142.5</v>
      </c>
      <c r="I43" s="221">
        <v>142.5</v>
      </c>
      <c r="J43" s="221">
        <v>142.5</v>
      </c>
      <c r="K43" s="221">
        <v>142.5</v>
      </c>
      <c r="L43" s="221">
        <v>142.5</v>
      </c>
      <c r="M43" s="221">
        <v>142.5</v>
      </c>
      <c r="N43" s="221">
        <v>142.5</v>
      </c>
      <c r="O43" s="221">
        <v>142.5</v>
      </c>
      <c r="P43" s="221">
        <v>142.5</v>
      </c>
      <c r="Q43" s="221">
        <v>142.5</v>
      </c>
      <c r="R43" s="221"/>
      <c r="S43" s="221">
        <v>142</v>
      </c>
      <c r="T43" s="221">
        <v>142.5</v>
      </c>
      <c r="U43" s="221">
        <v>142.6</v>
      </c>
      <c r="V43" s="221">
        <v>142.6</v>
      </c>
      <c r="W43" s="221">
        <v>142.80000000000001</v>
      </c>
      <c r="X43" s="221">
        <v>143</v>
      </c>
      <c r="Y43" s="221">
        <v>143.1</v>
      </c>
      <c r="Z43" s="221">
        <v>143.1</v>
      </c>
      <c r="AA43" s="221">
        <v>143.1</v>
      </c>
      <c r="AB43" s="221">
        <v>143.19999999999999</v>
      </c>
      <c r="AC43" s="221">
        <v>143.19999999999999</v>
      </c>
      <c r="AD43" s="221">
        <v>143.19999999999999</v>
      </c>
      <c r="AE43" s="221">
        <v>143.19999999999999</v>
      </c>
      <c r="AF43" s="221">
        <v>143.19999999999999</v>
      </c>
      <c r="AG43" s="230">
        <v>144</v>
      </c>
      <c r="AH43" s="226">
        <f t="shared" si="2"/>
        <v>143.19999999999999</v>
      </c>
      <c r="AI43" s="227">
        <f t="shared" si="3"/>
        <v>142</v>
      </c>
      <c r="AK43" s="228"/>
    </row>
    <row r="44" spans="1:88" x14ac:dyDescent="0.25">
      <c r="A44" s="234" t="s">
        <v>52</v>
      </c>
      <c r="B44" s="245">
        <v>71.900000000000006</v>
      </c>
      <c r="C44" s="245">
        <v>71.900000000000006</v>
      </c>
      <c r="D44" s="245">
        <v>71.900000000000006</v>
      </c>
      <c r="E44" s="245">
        <v>71.900000000000006</v>
      </c>
      <c r="F44" s="245">
        <v>71.900000000000006</v>
      </c>
      <c r="G44" s="245">
        <v>71.900000000000006</v>
      </c>
      <c r="H44" s="245">
        <v>71.900000000000006</v>
      </c>
      <c r="I44" s="245">
        <v>71.900000000000006</v>
      </c>
      <c r="J44" s="245">
        <v>71.900000000000006</v>
      </c>
      <c r="K44" s="245">
        <v>71.900000000000006</v>
      </c>
      <c r="L44" s="245">
        <v>70.7</v>
      </c>
      <c r="M44" s="245">
        <v>70.7</v>
      </c>
      <c r="N44" s="245">
        <v>70.7</v>
      </c>
      <c r="O44" s="245">
        <v>70.7</v>
      </c>
      <c r="P44" s="245">
        <v>70.7</v>
      </c>
      <c r="Q44" s="245">
        <v>70.7</v>
      </c>
      <c r="R44" s="221"/>
      <c r="S44" s="245">
        <v>72.5</v>
      </c>
      <c r="T44" s="245">
        <v>71.8</v>
      </c>
      <c r="U44" s="245">
        <v>70</v>
      </c>
      <c r="V44" s="245">
        <v>71.400000000000006</v>
      </c>
      <c r="W44" s="245">
        <v>70.8</v>
      </c>
      <c r="X44" s="245">
        <v>71.3</v>
      </c>
      <c r="Y44" s="245">
        <v>71.099999999999994</v>
      </c>
      <c r="Z44" s="245">
        <v>71.099999999999994</v>
      </c>
      <c r="AA44" s="245">
        <v>71.099999999999994</v>
      </c>
      <c r="AB44" s="245">
        <v>72.2</v>
      </c>
      <c r="AC44" s="245">
        <v>72.2</v>
      </c>
      <c r="AD44" s="245">
        <v>71</v>
      </c>
      <c r="AE44" s="245">
        <v>71</v>
      </c>
      <c r="AF44" s="245">
        <v>71</v>
      </c>
      <c r="AG44" s="235">
        <v>70</v>
      </c>
      <c r="AH44" s="226">
        <f t="shared" si="2"/>
        <v>72.5</v>
      </c>
      <c r="AI44" s="227">
        <f t="shared" si="3"/>
        <v>70</v>
      </c>
      <c r="AK44" s="228"/>
    </row>
    <row r="45" spans="1:88" x14ac:dyDescent="0.25">
      <c r="A45" s="234" t="s">
        <v>53</v>
      </c>
      <c r="B45" s="245">
        <v>64.2</v>
      </c>
      <c r="C45" s="245">
        <v>64.2</v>
      </c>
      <c r="D45" s="245">
        <v>64.2</v>
      </c>
      <c r="E45" s="245">
        <v>64.2</v>
      </c>
      <c r="F45" s="245">
        <v>44.1</v>
      </c>
      <c r="G45" s="245">
        <v>44.1</v>
      </c>
      <c r="H45" s="245">
        <v>44.1</v>
      </c>
      <c r="I45" s="245">
        <v>44.1</v>
      </c>
      <c r="J45" s="245">
        <v>45.6</v>
      </c>
      <c r="K45" s="245">
        <v>61.8</v>
      </c>
      <c r="L45" s="245">
        <v>64.599999999999994</v>
      </c>
      <c r="M45" s="245">
        <v>64.599999999999994</v>
      </c>
      <c r="N45" s="245">
        <v>64.599999999999994</v>
      </c>
      <c r="O45" s="245">
        <v>64.599999999999994</v>
      </c>
      <c r="P45" s="245">
        <v>64.599999999999994</v>
      </c>
      <c r="Q45" s="245">
        <v>64.599999999999994</v>
      </c>
      <c r="R45" s="221"/>
      <c r="S45" s="245">
        <v>63.8</v>
      </c>
      <c r="T45" s="245">
        <v>64.7</v>
      </c>
      <c r="U45" s="245">
        <v>65.3</v>
      </c>
      <c r="V45" s="245">
        <v>64.599999999999994</v>
      </c>
      <c r="W45" s="245">
        <v>64.900000000000006</v>
      </c>
      <c r="X45" s="245">
        <v>64.3</v>
      </c>
      <c r="Y45" s="245">
        <v>65</v>
      </c>
      <c r="Z45" s="245">
        <v>65</v>
      </c>
      <c r="AA45" s="245">
        <v>65</v>
      </c>
      <c r="AB45" s="245">
        <v>64.400000000000006</v>
      </c>
      <c r="AC45" s="245">
        <v>64.400000000000006</v>
      </c>
      <c r="AD45" s="245">
        <v>64.3</v>
      </c>
      <c r="AE45" s="245">
        <v>64.3</v>
      </c>
      <c r="AF45" s="245">
        <v>64.3</v>
      </c>
      <c r="AG45" s="235">
        <v>69</v>
      </c>
      <c r="AH45" s="226">
        <f t="shared" si="2"/>
        <v>65.3</v>
      </c>
      <c r="AI45" s="227">
        <f t="shared" si="3"/>
        <v>44.1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60.4</v>
      </c>
      <c r="E46" s="237">
        <v>60.4</v>
      </c>
      <c r="F46" s="237">
        <v>60.4</v>
      </c>
      <c r="G46" s="237">
        <v>60.4</v>
      </c>
      <c r="H46" s="237">
        <v>60.4</v>
      </c>
      <c r="I46" s="237">
        <v>60.4</v>
      </c>
      <c r="J46" s="237">
        <v>60.4</v>
      </c>
      <c r="K46" s="237">
        <v>60.4</v>
      </c>
      <c r="L46" s="237">
        <v>60.4</v>
      </c>
      <c r="M46" s="237">
        <v>60.4</v>
      </c>
      <c r="N46" s="237">
        <v>60.4</v>
      </c>
      <c r="O46" s="237">
        <v>60.4</v>
      </c>
      <c r="P46" s="237">
        <v>60.4</v>
      </c>
      <c r="Q46" s="237">
        <v>0</v>
      </c>
      <c r="R46" s="221"/>
      <c r="S46" s="221">
        <v>60.7</v>
      </c>
      <c r="T46" s="221">
        <v>60.7</v>
      </c>
      <c r="U46" s="221">
        <v>60.7</v>
      </c>
      <c r="V46" s="245">
        <v>60.7</v>
      </c>
      <c r="W46" s="245">
        <v>60.7</v>
      </c>
      <c r="X46" s="245">
        <v>60.7</v>
      </c>
      <c r="Y46" s="245">
        <v>60.7</v>
      </c>
      <c r="Z46" s="245">
        <v>60.7</v>
      </c>
      <c r="AA46" s="245">
        <v>60.7</v>
      </c>
      <c r="AB46" s="245">
        <v>60.7</v>
      </c>
      <c r="AC46" s="245">
        <v>60.7</v>
      </c>
      <c r="AD46" s="245">
        <v>60.7</v>
      </c>
      <c r="AE46" s="245">
        <v>60.7</v>
      </c>
      <c r="AF46" s="245">
        <v>60.7</v>
      </c>
      <c r="AG46" s="235">
        <v>60</v>
      </c>
      <c r="AH46" s="226">
        <f t="shared" si="2"/>
        <v>60.7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15</v>
      </c>
      <c r="C47" s="237">
        <v>15</v>
      </c>
      <c r="D47" s="237">
        <v>15</v>
      </c>
      <c r="E47" s="237">
        <v>15</v>
      </c>
      <c r="F47" s="237">
        <v>15</v>
      </c>
      <c r="G47" s="237">
        <v>15</v>
      </c>
      <c r="H47" s="237">
        <v>15</v>
      </c>
      <c r="I47" s="237">
        <v>15</v>
      </c>
      <c r="J47" s="237">
        <v>15</v>
      </c>
      <c r="K47" s="237">
        <v>15</v>
      </c>
      <c r="L47" s="237">
        <v>15</v>
      </c>
      <c r="M47" s="237">
        <v>15</v>
      </c>
      <c r="N47" s="237">
        <v>15</v>
      </c>
      <c r="O47" s="237">
        <v>15</v>
      </c>
      <c r="P47" s="237">
        <v>15</v>
      </c>
      <c r="Q47" s="237">
        <v>15</v>
      </c>
      <c r="R47" s="221"/>
      <c r="S47" s="221">
        <v>15</v>
      </c>
      <c r="T47" s="221">
        <v>15</v>
      </c>
      <c r="U47" s="221">
        <v>15</v>
      </c>
      <c r="V47" s="245">
        <v>13.5</v>
      </c>
      <c r="W47" s="245">
        <v>15</v>
      </c>
      <c r="X47" s="245">
        <v>15</v>
      </c>
      <c r="Y47" s="245">
        <v>15</v>
      </c>
      <c r="Z47" s="245">
        <v>15</v>
      </c>
      <c r="AA47" s="245">
        <v>15</v>
      </c>
      <c r="AB47" s="245">
        <v>15</v>
      </c>
      <c r="AC47" s="245">
        <v>15</v>
      </c>
      <c r="AD47" s="245">
        <v>15</v>
      </c>
      <c r="AE47" s="245">
        <v>15</v>
      </c>
      <c r="AF47" s="245">
        <v>15</v>
      </c>
      <c r="AG47" s="235">
        <v>30</v>
      </c>
      <c r="AH47" s="226">
        <f t="shared" si="2"/>
        <v>15</v>
      </c>
      <c r="AI47" s="227">
        <f t="shared" si="3"/>
        <v>13.5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0</v>
      </c>
      <c r="N48" s="245">
        <v>0</v>
      </c>
      <c r="O48" s="245">
        <v>0</v>
      </c>
      <c r="P48" s="245">
        <v>0</v>
      </c>
      <c r="Q48" s="245">
        <v>0</v>
      </c>
      <c r="R48" s="221"/>
      <c r="S48" s="221">
        <v>0</v>
      </c>
      <c r="T48" s="221">
        <v>0</v>
      </c>
      <c r="U48" s="221">
        <v>0</v>
      </c>
      <c r="V48" s="221">
        <v>0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12</v>
      </c>
      <c r="C49" s="245">
        <v>12</v>
      </c>
      <c r="D49" s="245">
        <v>10.9</v>
      </c>
      <c r="E49" s="245">
        <v>10.9</v>
      </c>
      <c r="F49" s="245">
        <v>10.9</v>
      </c>
      <c r="G49" s="245">
        <v>10.9</v>
      </c>
      <c r="H49" s="245">
        <v>10.9</v>
      </c>
      <c r="I49" s="245">
        <v>10.9</v>
      </c>
      <c r="J49" s="245">
        <v>10.9</v>
      </c>
      <c r="K49" s="245">
        <v>10.9</v>
      </c>
      <c r="L49" s="245">
        <v>10.9</v>
      </c>
      <c r="M49" s="245">
        <v>10.9</v>
      </c>
      <c r="N49" s="245">
        <v>10.9</v>
      </c>
      <c r="O49" s="245">
        <v>10.9</v>
      </c>
      <c r="P49" s="245">
        <v>0</v>
      </c>
      <c r="Q49" s="245">
        <v>0</v>
      </c>
      <c r="R49" s="221"/>
      <c r="S49" s="221">
        <v>0</v>
      </c>
      <c r="T49" s="221">
        <v>0</v>
      </c>
      <c r="U49" s="221">
        <v>0</v>
      </c>
      <c r="V49" s="221">
        <v>0</v>
      </c>
      <c r="W49" s="221">
        <v>14.5</v>
      </c>
      <c r="X49" s="221">
        <v>17</v>
      </c>
      <c r="Y49" s="221">
        <v>17</v>
      </c>
      <c r="Z49" s="221">
        <v>17</v>
      </c>
      <c r="AA49" s="221">
        <v>17</v>
      </c>
      <c r="AB49" s="221">
        <v>17</v>
      </c>
      <c r="AC49" s="221">
        <v>17</v>
      </c>
      <c r="AD49" s="221">
        <v>16.3</v>
      </c>
      <c r="AE49" s="221">
        <v>16.3</v>
      </c>
      <c r="AF49" s="221">
        <v>16.3</v>
      </c>
      <c r="AG49" s="235">
        <v>24</v>
      </c>
      <c r="AH49" s="226">
        <f t="shared" si="2"/>
        <v>17</v>
      </c>
      <c r="AI49" s="227">
        <f t="shared" si="3"/>
        <v>0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21"/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11</v>
      </c>
      <c r="C51" s="245">
        <v>11</v>
      </c>
      <c r="D51" s="245">
        <v>8.1</v>
      </c>
      <c r="E51" s="245">
        <v>8.1</v>
      </c>
      <c r="F51" s="245">
        <v>8.1</v>
      </c>
      <c r="G51" s="245">
        <v>8.1</v>
      </c>
      <c r="H51" s="245">
        <v>8.1</v>
      </c>
      <c r="I51" s="245">
        <v>8.1</v>
      </c>
      <c r="J51" s="245">
        <v>8.1</v>
      </c>
      <c r="K51" s="245">
        <v>8.1</v>
      </c>
      <c r="L51" s="245">
        <v>8.1</v>
      </c>
      <c r="M51" s="245">
        <v>8.1</v>
      </c>
      <c r="N51" s="245">
        <v>8.1</v>
      </c>
      <c r="O51" s="245">
        <v>8.1</v>
      </c>
      <c r="P51" s="245">
        <v>4</v>
      </c>
      <c r="Q51" s="245">
        <v>4</v>
      </c>
      <c r="R51" s="221"/>
      <c r="S51" s="221">
        <v>4</v>
      </c>
      <c r="T51" s="221">
        <v>0</v>
      </c>
      <c r="U51" s="221">
        <v>0</v>
      </c>
      <c r="V51" s="221">
        <v>0</v>
      </c>
      <c r="W51" s="221">
        <v>0</v>
      </c>
      <c r="X51" s="221">
        <v>0</v>
      </c>
      <c r="Y51" s="221">
        <v>12.4</v>
      </c>
      <c r="Z51" s="221">
        <v>12.4</v>
      </c>
      <c r="AA51" s="221">
        <v>12.4</v>
      </c>
      <c r="AB51" s="221">
        <v>12.4</v>
      </c>
      <c r="AC51" s="221">
        <v>12.4</v>
      </c>
      <c r="AD51" s="221">
        <v>12.4</v>
      </c>
      <c r="AE51" s="221">
        <v>12.4</v>
      </c>
      <c r="AF51" s="221">
        <v>12.4</v>
      </c>
      <c r="AG51" s="235">
        <v>14.1</v>
      </c>
      <c r="AH51" s="226">
        <f t="shared" si="2"/>
        <v>12.4</v>
      </c>
      <c r="AI51" s="227">
        <f t="shared" si="3"/>
        <v>0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2.6</v>
      </c>
      <c r="C52" s="245">
        <v>11.9</v>
      </c>
      <c r="D52" s="245">
        <v>13.6</v>
      </c>
      <c r="E52" s="245">
        <v>13.6</v>
      </c>
      <c r="F52" s="245">
        <v>13.6</v>
      </c>
      <c r="G52" s="245">
        <v>13.6</v>
      </c>
      <c r="H52" s="245">
        <v>13.6</v>
      </c>
      <c r="I52" s="245">
        <v>13.6</v>
      </c>
      <c r="J52" s="245">
        <v>13.6</v>
      </c>
      <c r="K52" s="245">
        <v>13.6</v>
      </c>
      <c r="L52" s="245">
        <v>13.6</v>
      </c>
      <c r="M52" s="245">
        <v>13.6</v>
      </c>
      <c r="N52" s="245">
        <v>13.6</v>
      </c>
      <c r="O52" s="245">
        <v>13.6</v>
      </c>
      <c r="P52" s="245">
        <v>13.6</v>
      </c>
      <c r="Q52" s="245">
        <v>13.6</v>
      </c>
      <c r="R52" s="221"/>
      <c r="S52" s="221">
        <v>13.6</v>
      </c>
      <c r="T52" s="221">
        <v>13.6</v>
      </c>
      <c r="U52" s="221">
        <v>13.6</v>
      </c>
      <c r="V52" s="221">
        <v>13.6</v>
      </c>
      <c r="W52" s="221">
        <v>13.6</v>
      </c>
      <c r="X52" s="221">
        <v>10</v>
      </c>
      <c r="Y52" s="221">
        <v>7</v>
      </c>
      <c r="Z52" s="221">
        <v>6.8</v>
      </c>
      <c r="AA52" s="221">
        <v>6.8</v>
      </c>
      <c r="AB52" s="221">
        <v>6.8</v>
      </c>
      <c r="AC52" s="221">
        <v>6.8</v>
      </c>
      <c r="AD52" s="221">
        <v>6.8</v>
      </c>
      <c r="AE52" s="221">
        <v>6.8</v>
      </c>
      <c r="AF52" s="221">
        <v>6.8</v>
      </c>
      <c r="AG52" s="235">
        <v>14</v>
      </c>
      <c r="AH52" s="226">
        <f t="shared" si="2"/>
        <v>13.6</v>
      </c>
      <c r="AI52" s="227">
        <f t="shared" si="3"/>
        <v>2.6</v>
      </c>
      <c r="AK52" s="228"/>
    </row>
    <row r="53" spans="1:41" x14ac:dyDescent="0.25">
      <c r="A53" s="234" t="s">
        <v>61</v>
      </c>
      <c r="B53" s="245">
        <v>6</v>
      </c>
      <c r="C53" s="245">
        <v>6</v>
      </c>
      <c r="D53" s="245">
        <v>6</v>
      </c>
      <c r="E53" s="245">
        <v>6</v>
      </c>
      <c r="F53" s="245">
        <v>6</v>
      </c>
      <c r="G53" s="245">
        <v>6</v>
      </c>
      <c r="H53" s="245">
        <v>6</v>
      </c>
      <c r="I53" s="245">
        <v>6</v>
      </c>
      <c r="J53" s="245">
        <v>6</v>
      </c>
      <c r="K53" s="245">
        <v>6</v>
      </c>
      <c r="L53" s="245">
        <v>6</v>
      </c>
      <c r="M53" s="245">
        <v>6</v>
      </c>
      <c r="N53" s="245">
        <v>6</v>
      </c>
      <c r="O53" s="245">
        <v>6</v>
      </c>
      <c r="P53" s="245">
        <v>6</v>
      </c>
      <c r="Q53" s="245">
        <v>6</v>
      </c>
      <c r="R53" s="221"/>
      <c r="S53" s="221">
        <v>6</v>
      </c>
      <c r="T53" s="221">
        <v>6</v>
      </c>
      <c r="U53" s="221">
        <v>6</v>
      </c>
      <c r="V53" s="221">
        <v>6</v>
      </c>
      <c r="W53" s="221">
        <v>6</v>
      </c>
      <c r="X53" s="221">
        <v>6</v>
      </c>
      <c r="Y53" s="221">
        <v>6</v>
      </c>
      <c r="Z53" s="221">
        <v>6</v>
      </c>
      <c r="AA53" s="221">
        <v>6</v>
      </c>
      <c r="AB53" s="221">
        <v>6</v>
      </c>
      <c r="AC53" s="221">
        <v>6</v>
      </c>
      <c r="AD53" s="221">
        <v>6</v>
      </c>
      <c r="AE53" s="221">
        <v>6</v>
      </c>
      <c r="AF53" s="221">
        <v>6</v>
      </c>
      <c r="AG53" s="235">
        <v>10.050000000000001</v>
      </c>
      <c r="AH53" s="226">
        <f t="shared" si="2"/>
        <v>6</v>
      </c>
      <c r="AI53" s="227">
        <f t="shared" si="3"/>
        <v>6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21"/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398.34000000000003</v>
      </c>
      <c r="C56" s="241">
        <f t="shared" ref="C56:AG56" si="6">SUM(C43:C55)</f>
        <v>407.64</v>
      </c>
      <c r="D56" s="241">
        <f t="shared" si="6"/>
        <v>405.34000000000003</v>
      </c>
      <c r="E56" s="241">
        <f t="shared" si="6"/>
        <v>405.34000000000003</v>
      </c>
      <c r="F56" s="241">
        <f t="shared" si="6"/>
        <v>385.24</v>
      </c>
      <c r="G56" s="241">
        <f t="shared" si="6"/>
        <v>385.24</v>
      </c>
      <c r="H56" s="241">
        <f t="shared" si="6"/>
        <v>385.24</v>
      </c>
      <c r="I56" s="241">
        <f t="shared" si="6"/>
        <v>385.24</v>
      </c>
      <c r="J56" s="241">
        <f t="shared" si="6"/>
        <v>386.74</v>
      </c>
      <c r="K56" s="241">
        <f t="shared" si="6"/>
        <v>402.94</v>
      </c>
      <c r="L56" s="241">
        <f t="shared" si="6"/>
        <v>404.53999999999996</v>
      </c>
      <c r="M56" s="241">
        <f t="shared" si="6"/>
        <v>404.53999999999996</v>
      </c>
      <c r="N56" s="241">
        <f t="shared" si="6"/>
        <v>404.53999999999996</v>
      </c>
      <c r="O56" s="241">
        <f t="shared" si="6"/>
        <v>404.53999999999996</v>
      </c>
      <c r="P56" s="241">
        <f t="shared" si="6"/>
        <v>389.53999999999996</v>
      </c>
      <c r="Q56" s="241">
        <f t="shared" si="6"/>
        <v>329.14</v>
      </c>
      <c r="R56" s="241">
        <f t="shared" si="6"/>
        <v>3.54</v>
      </c>
      <c r="S56" s="241">
        <f t="shared" si="6"/>
        <v>390.34000000000003</v>
      </c>
      <c r="T56" s="241">
        <f t="shared" si="6"/>
        <v>387.04</v>
      </c>
      <c r="U56" s="241">
        <f t="shared" si="6"/>
        <v>385.94</v>
      </c>
      <c r="V56" s="241">
        <f t="shared" si="6"/>
        <v>385.14000000000004</v>
      </c>
      <c r="W56" s="241">
        <f t="shared" si="6"/>
        <v>401.04</v>
      </c>
      <c r="X56" s="241">
        <f t="shared" si="6"/>
        <v>400.04</v>
      </c>
      <c r="Y56" s="241">
        <f t="shared" si="6"/>
        <v>410.03999999999996</v>
      </c>
      <c r="Z56" s="241">
        <f t="shared" si="6"/>
        <v>409.84</v>
      </c>
      <c r="AA56" s="241">
        <f t="shared" si="6"/>
        <v>409.84</v>
      </c>
      <c r="AB56" s="241">
        <f t="shared" si="6"/>
        <v>410.43999999999994</v>
      </c>
      <c r="AC56" s="241">
        <f t="shared" si="6"/>
        <v>410.43999999999994</v>
      </c>
      <c r="AD56" s="241">
        <f t="shared" si="6"/>
        <v>408.44</v>
      </c>
      <c r="AE56" s="241">
        <f t="shared" si="6"/>
        <v>408.44</v>
      </c>
      <c r="AF56" s="241">
        <f t="shared" si="6"/>
        <v>408.44</v>
      </c>
      <c r="AG56" s="242">
        <f t="shared" si="6"/>
        <v>489.91</v>
      </c>
      <c r="AH56" s="226">
        <f t="shared" si="2"/>
        <v>410.43999999999994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/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30.5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30.5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/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14.5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14.5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/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5.3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5.3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>SUM(O57:O59)</f>
        <v>0</v>
      </c>
      <c r="P60" s="241">
        <f>SUM(P57:P59)</f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50.3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50.3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24.5</v>
      </c>
      <c r="C61" s="221">
        <v>22.6</v>
      </c>
      <c r="D61" s="221">
        <v>21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23.6</v>
      </c>
      <c r="L61" s="221">
        <v>44</v>
      </c>
      <c r="M61" s="221">
        <v>39</v>
      </c>
      <c r="N61" s="221">
        <v>39</v>
      </c>
      <c r="O61" s="221">
        <v>48</v>
      </c>
      <c r="P61" s="221">
        <v>62</v>
      </c>
      <c r="Q61" s="221">
        <v>29</v>
      </c>
      <c r="R61" s="221"/>
      <c r="S61" s="221">
        <v>30.5</v>
      </c>
      <c r="T61" s="221">
        <v>36.5</v>
      </c>
      <c r="U61" s="221">
        <v>28.2</v>
      </c>
      <c r="V61" s="221">
        <v>32.1</v>
      </c>
      <c r="W61" s="221">
        <v>26.5</v>
      </c>
      <c r="X61" s="221">
        <v>21.4</v>
      </c>
      <c r="Y61" s="221">
        <v>25.7</v>
      </c>
      <c r="Z61" s="221">
        <v>29.7</v>
      </c>
      <c r="AA61" s="221">
        <v>35.5</v>
      </c>
      <c r="AB61" s="221">
        <v>42.8</v>
      </c>
      <c r="AC61" s="221">
        <v>49.3</v>
      </c>
      <c r="AD61" s="221">
        <v>49.6</v>
      </c>
      <c r="AE61" s="221">
        <v>47.69</v>
      </c>
      <c r="AF61" s="221">
        <v>45</v>
      </c>
      <c r="AG61" s="230"/>
      <c r="AH61" s="226">
        <f t="shared" si="2"/>
        <v>62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/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-391</v>
      </c>
      <c r="C63" s="245">
        <v>-345</v>
      </c>
      <c r="D63" s="245">
        <v>-350</v>
      </c>
      <c r="E63" s="245">
        <v>-380</v>
      </c>
      <c r="F63" s="245">
        <v>-402</v>
      </c>
      <c r="G63" s="245">
        <v>-385.7</v>
      </c>
      <c r="H63" s="245">
        <v>-410.6</v>
      </c>
      <c r="I63" s="245">
        <v>-406.8</v>
      </c>
      <c r="J63" s="245">
        <v>-410.3</v>
      </c>
      <c r="K63" s="245">
        <v>-363</v>
      </c>
      <c r="L63" s="245">
        <v>-344</v>
      </c>
      <c r="M63" s="245">
        <v>-354</v>
      </c>
      <c r="N63" s="245">
        <v>-340</v>
      </c>
      <c r="O63" s="245">
        <v>-240</v>
      </c>
      <c r="P63" s="245">
        <v>-202</v>
      </c>
      <c r="Q63" s="245">
        <v>-280</v>
      </c>
      <c r="R63" s="245"/>
      <c r="S63" s="245">
        <v>-316.7</v>
      </c>
      <c r="T63" s="245">
        <v>-257.10000000000002</v>
      </c>
      <c r="U63" s="245">
        <v>-279.5</v>
      </c>
      <c r="V63" s="245">
        <v>-276.10000000000002</v>
      </c>
      <c r="W63" s="245">
        <v>-294.3</v>
      </c>
      <c r="X63" s="245">
        <v>-284.8</v>
      </c>
      <c r="Y63" s="245">
        <v>-297.5</v>
      </c>
      <c r="Z63" s="245">
        <v>-230.2</v>
      </c>
      <c r="AA63" s="245">
        <v>-220.7</v>
      </c>
      <c r="AB63" s="245">
        <v>-214</v>
      </c>
      <c r="AC63" s="245">
        <v>-175</v>
      </c>
      <c r="AD63" s="245">
        <v>-177</v>
      </c>
      <c r="AE63" s="245">
        <v>-279</v>
      </c>
      <c r="AF63" s="245">
        <v>-363</v>
      </c>
      <c r="AG63" s="255"/>
      <c r="AH63" s="226">
        <f t="shared" si="2"/>
        <v>-175</v>
      </c>
      <c r="AI63" s="227">
        <f t="shared" si="3"/>
        <v>-410.6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/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/>
      <c r="S65" s="256">
        <v>0</v>
      </c>
      <c r="T65" s="256">
        <v>0</v>
      </c>
      <c r="U65" s="256">
        <v>0</v>
      </c>
      <c r="V65" s="256">
        <v>0</v>
      </c>
      <c r="W65" s="256">
        <v>0</v>
      </c>
      <c r="X65" s="256">
        <v>0</v>
      </c>
      <c r="Y65" s="256">
        <v>0</v>
      </c>
      <c r="Z65" s="256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4.5</v>
      </c>
      <c r="C66" s="257">
        <v>4.5</v>
      </c>
      <c r="D66" s="257">
        <v>4.5</v>
      </c>
      <c r="E66" s="257">
        <v>4.5</v>
      </c>
      <c r="F66" s="257">
        <v>4.5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/>
      <c r="S66" s="256">
        <v>0</v>
      </c>
      <c r="T66" s="256">
        <v>0</v>
      </c>
      <c r="U66" s="256">
        <v>0</v>
      </c>
      <c r="V66" s="256">
        <v>0</v>
      </c>
      <c r="W66" s="256">
        <v>0</v>
      </c>
      <c r="X66" s="256">
        <v>0</v>
      </c>
      <c r="Y66" s="256">
        <v>0</v>
      </c>
      <c r="Z66" s="256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4.5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/>
      <c r="S67" s="256">
        <v>0</v>
      </c>
      <c r="T67" s="256">
        <v>0</v>
      </c>
      <c r="U67" s="256">
        <v>0</v>
      </c>
      <c r="V67" s="256">
        <v>0</v>
      </c>
      <c r="W67" s="256">
        <v>0</v>
      </c>
      <c r="X67" s="256">
        <v>0</v>
      </c>
      <c r="Y67" s="256">
        <v>0</v>
      </c>
      <c r="Z67" s="256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f>206/5/2/2</f>
        <v>10.3</v>
      </c>
      <c r="D68" s="256">
        <f>206/5/2/2</f>
        <v>10.3</v>
      </c>
      <c r="E68" s="256">
        <f>206/5/2/2</f>
        <v>10.3</v>
      </c>
      <c r="F68" s="256">
        <f>206/5/2/2</f>
        <v>10.3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/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10.3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/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/>
      <c r="S70" s="256">
        <v>0</v>
      </c>
      <c r="T70" s="256">
        <v>0</v>
      </c>
      <c r="U70" s="256">
        <v>0</v>
      </c>
      <c r="V70" s="256">
        <v>0</v>
      </c>
      <c r="W70" s="256">
        <v>0</v>
      </c>
      <c r="X70" s="256">
        <v>0</v>
      </c>
      <c r="Y70" s="256">
        <v>0</v>
      </c>
      <c r="Z70" s="256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/>
      <c r="S71" s="256">
        <v>0</v>
      </c>
      <c r="T71" s="256">
        <v>0</v>
      </c>
      <c r="U71" s="256">
        <v>0</v>
      </c>
      <c r="V71" s="256">
        <v>0</v>
      </c>
      <c r="W71" s="256">
        <v>0</v>
      </c>
      <c r="X71" s="256">
        <v>0</v>
      </c>
      <c r="Y71" s="256">
        <v>0</v>
      </c>
      <c r="Z71" s="256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29</v>
      </c>
      <c r="C72" s="241">
        <f t="shared" ref="C72:L72" si="8">SUMIF(C61:C71,"&gt;0")</f>
        <v>37.400000000000006</v>
      </c>
      <c r="D72" s="241">
        <f t="shared" si="8"/>
        <v>35.799999999999997</v>
      </c>
      <c r="E72" s="241">
        <f t="shared" si="8"/>
        <v>14.8</v>
      </c>
      <c r="F72" s="241">
        <f t="shared" si="8"/>
        <v>14.8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23.6</v>
      </c>
      <c r="L72" s="241">
        <f t="shared" si="8"/>
        <v>44</v>
      </c>
      <c r="M72" s="241">
        <f>SUMIF(M61:M71,"&gt;0")</f>
        <v>39</v>
      </c>
      <c r="N72" s="241">
        <f t="shared" ref="N72:AF72" si="9">SUMIF(N61:N71,"&gt;0")</f>
        <v>39</v>
      </c>
      <c r="O72" s="241">
        <f t="shared" si="9"/>
        <v>48</v>
      </c>
      <c r="P72" s="241">
        <f t="shared" si="9"/>
        <v>62</v>
      </c>
      <c r="Q72" s="241">
        <f t="shared" si="9"/>
        <v>29</v>
      </c>
      <c r="R72" s="241">
        <f t="shared" si="9"/>
        <v>0</v>
      </c>
      <c r="S72" s="241">
        <f t="shared" si="9"/>
        <v>30.5</v>
      </c>
      <c r="T72" s="241">
        <f t="shared" si="9"/>
        <v>36.5</v>
      </c>
      <c r="U72" s="241">
        <f t="shared" si="9"/>
        <v>28.2</v>
      </c>
      <c r="V72" s="241">
        <f t="shared" si="9"/>
        <v>32.1</v>
      </c>
      <c r="W72" s="241">
        <f t="shared" si="9"/>
        <v>26.5</v>
      </c>
      <c r="X72" s="241">
        <f t="shared" si="9"/>
        <v>21.4</v>
      </c>
      <c r="Y72" s="241">
        <f t="shared" si="9"/>
        <v>25.7</v>
      </c>
      <c r="Z72" s="241">
        <f t="shared" si="9"/>
        <v>29.7</v>
      </c>
      <c r="AA72" s="241">
        <f t="shared" si="9"/>
        <v>35.5</v>
      </c>
      <c r="AB72" s="241">
        <f t="shared" si="9"/>
        <v>42.8</v>
      </c>
      <c r="AC72" s="241">
        <f t="shared" si="9"/>
        <v>49.3</v>
      </c>
      <c r="AD72" s="241">
        <f t="shared" si="9"/>
        <v>49.6</v>
      </c>
      <c r="AE72" s="241">
        <f t="shared" si="9"/>
        <v>47.69</v>
      </c>
      <c r="AF72" s="241">
        <f t="shared" si="9"/>
        <v>45</v>
      </c>
      <c r="AG72" s="261">
        <f>SUM(AG61:AG71)</f>
        <v>0</v>
      </c>
      <c r="AH72" s="226">
        <f t="shared" si="2"/>
        <v>62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/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/>
      <c r="S74" s="256">
        <v>0</v>
      </c>
      <c r="T74" s="256">
        <v>0</v>
      </c>
      <c r="U74" s="256">
        <v>0</v>
      </c>
      <c r="V74" s="256">
        <v>0</v>
      </c>
      <c r="W74" s="256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/>
      <c r="S75" s="256">
        <v>0</v>
      </c>
      <c r="T75" s="256">
        <v>0</v>
      </c>
      <c r="U75" s="256">
        <v>0</v>
      </c>
      <c r="V75" s="256">
        <v>0</v>
      </c>
      <c r="W75" s="256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1827.6399999999999</v>
      </c>
      <c r="C77" s="263">
        <f t="shared" ref="C77:AF77" si="10">C38+C42+C60+C56+C72+C76</f>
        <v>1794.3400000000001</v>
      </c>
      <c r="D77" s="263">
        <f t="shared" si="10"/>
        <v>1788.4399999999998</v>
      </c>
      <c r="E77" s="263">
        <f t="shared" si="10"/>
        <v>1771.34</v>
      </c>
      <c r="F77" s="263">
        <f t="shared" si="10"/>
        <v>1724.24</v>
      </c>
      <c r="G77" s="263">
        <f t="shared" si="10"/>
        <v>1729.44</v>
      </c>
      <c r="H77" s="263">
        <f t="shared" si="10"/>
        <v>1729.44</v>
      </c>
      <c r="I77" s="263">
        <f t="shared" si="10"/>
        <v>1734.44</v>
      </c>
      <c r="J77" s="263">
        <f t="shared" si="10"/>
        <v>1740.94</v>
      </c>
      <c r="K77" s="263">
        <f t="shared" si="10"/>
        <v>1762.24</v>
      </c>
      <c r="L77" s="263">
        <f t="shared" si="10"/>
        <v>1794.24</v>
      </c>
      <c r="M77" s="263">
        <f t="shared" si="10"/>
        <v>1779.24</v>
      </c>
      <c r="N77" s="263">
        <f t="shared" si="10"/>
        <v>1767.24</v>
      </c>
      <c r="O77" s="263">
        <f t="shared" si="10"/>
        <v>1654.94</v>
      </c>
      <c r="P77" s="263">
        <f t="shared" si="10"/>
        <v>1609.94</v>
      </c>
      <c r="Q77" s="263">
        <f t="shared" si="10"/>
        <v>1591.54</v>
      </c>
      <c r="R77" s="263">
        <f t="shared" si="10"/>
        <v>1181.94</v>
      </c>
      <c r="S77" s="263">
        <f t="shared" si="10"/>
        <v>1653.1399999999999</v>
      </c>
      <c r="T77" s="263">
        <f t="shared" si="10"/>
        <v>1640.84</v>
      </c>
      <c r="U77" s="263">
        <f t="shared" si="10"/>
        <v>1611.74</v>
      </c>
      <c r="V77" s="263">
        <f t="shared" si="10"/>
        <v>1617.54</v>
      </c>
      <c r="W77" s="263">
        <f t="shared" si="10"/>
        <v>1628.04</v>
      </c>
      <c r="X77" s="263">
        <f t="shared" si="10"/>
        <v>1664.54</v>
      </c>
      <c r="Y77" s="263">
        <f t="shared" si="10"/>
        <v>1706.84</v>
      </c>
      <c r="Z77" s="263">
        <f t="shared" si="10"/>
        <v>1789.6399999999999</v>
      </c>
      <c r="AA77" s="263">
        <f t="shared" si="10"/>
        <v>1841.54</v>
      </c>
      <c r="AB77" s="263">
        <f t="shared" si="10"/>
        <v>1786.64</v>
      </c>
      <c r="AC77" s="263">
        <f t="shared" si="10"/>
        <v>1808.14</v>
      </c>
      <c r="AD77" s="263">
        <f t="shared" si="10"/>
        <v>1772.04</v>
      </c>
      <c r="AE77" s="263">
        <f t="shared" si="10"/>
        <v>1808.13</v>
      </c>
      <c r="AF77" s="263">
        <f t="shared" si="10"/>
        <v>1816.04</v>
      </c>
      <c r="AG77" s="242">
        <f>AG38+AG42+AG60+AG56+AG72+AG76</f>
        <v>1855.1900000000003</v>
      </c>
      <c r="AH77" s="226">
        <f t="shared" si="2"/>
        <v>1841.54</v>
      </c>
      <c r="AI77" s="227">
        <f t="shared" si="3"/>
        <v>1181.94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1827.6399999999999</v>
      </c>
      <c r="C79" s="263">
        <f t="shared" ref="C79:AF79" si="11">C77+C78</f>
        <v>1794.3400000000001</v>
      </c>
      <c r="D79" s="263">
        <f t="shared" si="11"/>
        <v>1788.4399999999998</v>
      </c>
      <c r="E79" s="263">
        <f t="shared" si="11"/>
        <v>1771.34</v>
      </c>
      <c r="F79" s="263">
        <f t="shared" si="11"/>
        <v>1724.24</v>
      </c>
      <c r="G79" s="263">
        <f t="shared" si="11"/>
        <v>1729.44</v>
      </c>
      <c r="H79" s="263">
        <f t="shared" si="11"/>
        <v>1729.44</v>
      </c>
      <c r="I79" s="263">
        <f t="shared" si="11"/>
        <v>1734.44</v>
      </c>
      <c r="J79" s="263">
        <f t="shared" si="11"/>
        <v>1740.94</v>
      </c>
      <c r="K79" s="263">
        <f t="shared" si="11"/>
        <v>1762.24</v>
      </c>
      <c r="L79" s="263">
        <f t="shared" si="11"/>
        <v>1794.24</v>
      </c>
      <c r="M79" s="263">
        <f t="shared" si="11"/>
        <v>1779.24</v>
      </c>
      <c r="N79" s="263">
        <f t="shared" si="11"/>
        <v>1767.24</v>
      </c>
      <c r="O79" s="263">
        <f t="shared" si="11"/>
        <v>1654.94</v>
      </c>
      <c r="P79" s="263">
        <f t="shared" si="11"/>
        <v>1609.94</v>
      </c>
      <c r="Q79" s="263">
        <f t="shared" si="11"/>
        <v>1591.54</v>
      </c>
      <c r="R79" s="263">
        <f t="shared" si="11"/>
        <v>1181.94</v>
      </c>
      <c r="S79" s="263">
        <f t="shared" si="11"/>
        <v>1653.1399999999999</v>
      </c>
      <c r="T79" s="263">
        <f t="shared" si="11"/>
        <v>1640.84</v>
      </c>
      <c r="U79" s="263">
        <f t="shared" si="11"/>
        <v>1611.74</v>
      </c>
      <c r="V79" s="263">
        <f t="shared" si="11"/>
        <v>1617.54</v>
      </c>
      <c r="W79" s="263">
        <f t="shared" si="11"/>
        <v>1628.04</v>
      </c>
      <c r="X79" s="263">
        <f t="shared" si="11"/>
        <v>1664.54</v>
      </c>
      <c r="Y79" s="263">
        <f t="shared" si="11"/>
        <v>1706.84</v>
      </c>
      <c r="Z79" s="263">
        <f t="shared" si="11"/>
        <v>1789.6399999999999</v>
      </c>
      <c r="AA79" s="263">
        <f t="shared" si="11"/>
        <v>1841.54</v>
      </c>
      <c r="AB79" s="263">
        <f t="shared" si="11"/>
        <v>1786.64</v>
      </c>
      <c r="AC79" s="263">
        <f t="shared" si="11"/>
        <v>1808.14</v>
      </c>
      <c r="AD79" s="263">
        <f t="shared" si="11"/>
        <v>1772.04</v>
      </c>
      <c r="AE79" s="263">
        <f t="shared" si="11"/>
        <v>1808.13</v>
      </c>
      <c r="AF79" s="263">
        <f t="shared" si="11"/>
        <v>1816.04</v>
      </c>
      <c r="AG79" s="261">
        <f>AG76+AG72+AG60+AG56+AG38+AG78</f>
        <v>1317.0900000000001</v>
      </c>
      <c r="AH79" s="226">
        <f t="shared" si="2"/>
        <v>1841.54</v>
      </c>
      <c r="AI79" s="227">
        <f t="shared" si="3"/>
        <v>1181.94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1436.6399999999999</v>
      </c>
      <c r="C80" s="263">
        <f t="shared" si="12"/>
        <v>1449.3400000000001</v>
      </c>
      <c r="D80" s="263">
        <f t="shared" si="12"/>
        <v>1438.4399999999998</v>
      </c>
      <c r="E80" s="263">
        <f t="shared" si="12"/>
        <v>1391.34</v>
      </c>
      <c r="F80" s="263">
        <f t="shared" si="12"/>
        <v>1322.24</v>
      </c>
      <c r="G80" s="263">
        <f t="shared" si="12"/>
        <v>1343.74</v>
      </c>
      <c r="H80" s="263">
        <f t="shared" si="12"/>
        <v>1318.8400000000001</v>
      </c>
      <c r="I80" s="263">
        <f t="shared" si="12"/>
        <v>1327.64</v>
      </c>
      <c r="J80" s="263">
        <f t="shared" si="12"/>
        <v>1330.64</v>
      </c>
      <c r="K80" s="263">
        <f t="shared" si="12"/>
        <v>1399.24</v>
      </c>
      <c r="L80" s="263">
        <f t="shared" si="12"/>
        <v>1450.24</v>
      </c>
      <c r="M80" s="263">
        <f t="shared" si="12"/>
        <v>1425.24</v>
      </c>
      <c r="N80" s="263">
        <f t="shared" si="12"/>
        <v>1427.24</v>
      </c>
      <c r="O80" s="263">
        <f t="shared" si="12"/>
        <v>1414.94</v>
      </c>
      <c r="P80" s="263">
        <f t="shared" si="12"/>
        <v>1407.94</v>
      </c>
      <c r="Q80" s="263">
        <f t="shared" si="12"/>
        <v>1311.54</v>
      </c>
      <c r="R80" s="263">
        <f t="shared" si="12"/>
        <v>1181.94</v>
      </c>
      <c r="S80" s="263">
        <f t="shared" si="12"/>
        <v>1336.4399999999998</v>
      </c>
      <c r="T80" s="263">
        <f t="shared" si="12"/>
        <v>1383.7399999999998</v>
      </c>
      <c r="U80" s="263">
        <f t="shared" si="12"/>
        <v>1332.24</v>
      </c>
      <c r="V80" s="263">
        <f t="shared" si="12"/>
        <v>1341.44</v>
      </c>
      <c r="W80" s="263">
        <f t="shared" si="12"/>
        <v>1333.74</v>
      </c>
      <c r="X80" s="263">
        <f t="shared" si="12"/>
        <v>1379.74</v>
      </c>
      <c r="Y80" s="263">
        <f t="shared" si="12"/>
        <v>1409.34</v>
      </c>
      <c r="Z80" s="263">
        <f t="shared" si="12"/>
        <v>1559.4399999999998</v>
      </c>
      <c r="AA80" s="263">
        <f t="shared" si="12"/>
        <v>1620.84</v>
      </c>
      <c r="AB80" s="263">
        <f t="shared" si="12"/>
        <v>1572.64</v>
      </c>
      <c r="AC80" s="263">
        <f t="shared" si="12"/>
        <v>1633.14</v>
      </c>
      <c r="AD80" s="263">
        <f t="shared" si="12"/>
        <v>1595.04</v>
      </c>
      <c r="AE80" s="263">
        <f t="shared" si="12"/>
        <v>1529.13</v>
      </c>
      <c r="AF80" s="263">
        <f t="shared" si="12"/>
        <v>1453.04</v>
      </c>
      <c r="AG80" s="261"/>
      <c r="AH80" s="226">
        <f t="shared" ref="AH80:AH97" si="13">MAX(B80:AF80)</f>
        <v>1633.14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391</v>
      </c>
      <c r="C84" s="256">
        <f t="shared" ref="C84:AF84" si="18">IF(C63&lt;0,C63*-1,0)</f>
        <v>345</v>
      </c>
      <c r="D84" s="256">
        <f t="shared" si="18"/>
        <v>350</v>
      </c>
      <c r="E84" s="256">
        <f t="shared" si="18"/>
        <v>380</v>
      </c>
      <c r="F84" s="256">
        <f t="shared" si="18"/>
        <v>402</v>
      </c>
      <c r="G84" s="256">
        <f t="shared" si="18"/>
        <v>385.7</v>
      </c>
      <c r="H84" s="256">
        <f t="shared" si="18"/>
        <v>410.6</v>
      </c>
      <c r="I84" s="256">
        <f t="shared" si="18"/>
        <v>406.8</v>
      </c>
      <c r="J84" s="256">
        <f t="shared" si="18"/>
        <v>410.3</v>
      </c>
      <c r="K84" s="256">
        <f t="shared" si="18"/>
        <v>363</v>
      </c>
      <c r="L84" s="256">
        <f t="shared" si="18"/>
        <v>344</v>
      </c>
      <c r="M84" s="256">
        <f t="shared" si="18"/>
        <v>354</v>
      </c>
      <c r="N84" s="256">
        <f t="shared" si="18"/>
        <v>340</v>
      </c>
      <c r="O84" s="256">
        <f t="shared" si="18"/>
        <v>240</v>
      </c>
      <c r="P84" s="256">
        <f t="shared" si="18"/>
        <v>202</v>
      </c>
      <c r="Q84" s="256">
        <f t="shared" si="18"/>
        <v>280</v>
      </c>
      <c r="R84" s="256">
        <f t="shared" si="18"/>
        <v>0</v>
      </c>
      <c r="S84" s="256">
        <f t="shared" si="18"/>
        <v>316.7</v>
      </c>
      <c r="T84" s="256">
        <f t="shared" si="18"/>
        <v>257.10000000000002</v>
      </c>
      <c r="U84" s="256">
        <f t="shared" si="18"/>
        <v>279.5</v>
      </c>
      <c r="V84" s="256">
        <f t="shared" si="18"/>
        <v>276.10000000000002</v>
      </c>
      <c r="W84" s="256">
        <f t="shared" si="18"/>
        <v>294.3</v>
      </c>
      <c r="X84" s="256">
        <f t="shared" si="18"/>
        <v>284.8</v>
      </c>
      <c r="Y84" s="256">
        <f t="shared" si="18"/>
        <v>297.5</v>
      </c>
      <c r="Z84" s="256">
        <f t="shared" si="18"/>
        <v>230.2</v>
      </c>
      <c r="AA84" s="256">
        <f t="shared" si="18"/>
        <v>220.7</v>
      </c>
      <c r="AB84" s="256">
        <f t="shared" si="18"/>
        <v>214</v>
      </c>
      <c r="AC84" s="256">
        <f t="shared" si="18"/>
        <v>175</v>
      </c>
      <c r="AD84" s="256">
        <f t="shared" si="18"/>
        <v>177</v>
      </c>
      <c r="AE84" s="256">
        <f t="shared" si="18"/>
        <v>279</v>
      </c>
      <c r="AF84" s="256">
        <f t="shared" si="18"/>
        <v>363</v>
      </c>
      <c r="AG84" s="266"/>
      <c r="AH84" s="226">
        <f t="shared" si="13"/>
        <v>410.6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391</v>
      </c>
      <c r="C87" s="241">
        <f t="shared" ref="C87:AF87" si="20">SUM(C81:C86)</f>
        <v>345</v>
      </c>
      <c r="D87" s="241">
        <f t="shared" si="20"/>
        <v>350</v>
      </c>
      <c r="E87" s="241">
        <f t="shared" si="20"/>
        <v>380</v>
      </c>
      <c r="F87" s="241">
        <f t="shared" si="20"/>
        <v>402</v>
      </c>
      <c r="G87" s="241">
        <f t="shared" si="20"/>
        <v>385.7</v>
      </c>
      <c r="H87" s="241">
        <f t="shared" si="20"/>
        <v>410.6</v>
      </c>
      <c r="I87" s="241">
        <f t="shared" si="20"/>
        <v>406.8</v>
      </c>
      <c r="J87" s="241">
        <f t="shared" si="20"/>
        <v>410.3</v>
      </c>
      <c r="K87" s="241">
        <f t="shared" si="20"/>
        <v>363</v>
      </c>
      <c r="L87" s="241">
        <f t="shared" si="20"/>
        <v>344</v>
      </c>
      <c r="M87" s="241">
        <f t="shared" si="20"/>
        <v>354</v>
      </c>
      <c r="N87" s="241">
        <f t="shared" si="20"/>
        <v>340</v>
      </c>
      <c r="O87" s="241">
        <f t="shared" si="20"/>
        <v>240</v>
      </c>
      <c r="P87" s="241">
        <f t="shared" si="20"/>
        <v>202</v>
      </c>
      <c r="Q87" s="241">
        <f t="shared" si="20"/>
        <v>280</v>
      </c>
      <c r="R87" s="241">
        <f t="shared" si="20"/>
        <v>0</v>
      </c>
      <c r="S87" s="241">
        <f t="shared" si="20"/>
        <v>316.7</v>
      </c>
      <c r="T87" s="241">
        <f t="shared" si="20"/>
        <v>257.10000000000002</v>
      </c>
      <c r="U87" s="241">
        <f t="shared" si="20"/>
        <v>279.5</v>
      </c>
      <c r="V87" s="241">
        <f t="shared" si="20"/>
        <v>276.10000000000002</v>
      </c>
      <c r="W87" s="241">
        <f t="shared" si="20"/>
        <v>294.3</v>
      </c>
      <c r="X87" s="241">
        <f t="shared" si="20"/>
        <v>284.8</v>
      </c>
      <c r="Y87" s="241">
        <f t="shared" si="20"/>
        <v>297.5</v>
      </c>
      <c r="Z87" s="241">
        <f t="shared" si="20"/>
        <v>230.2</v>
      </c>
      <c r="AA87" s="241">
        <f t="shared" si="20"/>
        <v>220.7</v>
      </c>
      <c r="AB87" s="241">
        <f t="shared" si="20"/>
        <v>214</v>
      </c>
      <c r="AC87" s="241">
        <f t="shared" si="20"/>
        <v>175</v>
      </c>
      <c r="AD87" s="241">
        <f t="shared" si="20"/>
        <v>177</v>
      </c>
      <c r="AE87" s="241">
        <f t="shared" si="20"/>
        <v>279</v>
      </c>
      <c r="AF87" s="241">
        <f t="shared" si="20"/>
        <v>363</v>
      </c>
      <c r="AG87" s="261"/>
      <c r="AH87" s="226">
        <f t="shared" si="13"/>
        <v>410.6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-362</v>
      </c>
      <c r="C88" s="241">
        <f t="shared" ref="C88:AF88" si="21">C72-C87</f>
        <v>-307.60000000000002</v>
      </c>
      <c r="D88" s="241">
        <f t="shared" si="21"/>
        <v>-314.2</v>
      </c>
      <c r="E88" s="241">
        <f t="shared" si="21"/>
        <v>-365.2</v>
      </c>
      <c r="F88" s="241">
        <f t="shared" si="21"/>
        <v>-387.2</v>
      </c>
      <c r="G88" s="241">
        <f t="shared" si="21"/>
        <v>-385.7</v>
      </c>
      <c r="H88" s="241">
        <f t="shared" si="21"/>
        <v>-410.6</v>
      </c>
      <c r="I88" s="241">
        <f t="shared" si="21"/>
        <v>-406.8</v>
      </c>
      <c r="J88" s="241">
        <f t="shared" si="21"/>
        <v>-410.3</v>
      </c>
      <c r="K88" s="241">
        <f t="shared" si="21"/>
        <v>-339.4</v>
      </c>
      <c r="L88" s="241">
        <f t="shared" si="21"/>
        <v>-300</v>
      </c>
      <c r="M88" s="241">
        <f t="shared" si="21"/>
        <v>-315</v>
      </c>
      <c r="N88" s="241">
        <f t="shared" si="21"/>
        <v>-301</v>
      </c>
      <c r="O88" s="241">
        <f t="shared" si="21"/>
        <v>-192</v>
      </c>
      <c r="P88" s="241">
        <f t="shared" si="21"/>
        <v>-140</v>
      </c>
      <c r="Q88" s="241">
        <f t="shared" si="21"/>
        <v>-251</v>
      </c>
      <c r="R88" s="241">
        <f t="shared" si="21"/>
        <v>0</v>
      </c>
      <c r="S88" s="241">
        <f t="shared" si="21"/>
        <v>-286.2</v>
      </c>
      <c r="T88" s="241">
        <f t="shared" si="21"/>
        <v>-220.60000000000002</v>
      </c>
      <c r="U88" s="241">
        <f t="shared" si="21"/>
        <v>-251.3</v>
      </c>
      <c r="V88" s="241">
        <f t="shared" si="21"/>
        <v>-244.00000000000003</v>
      </c>
      <c r="W88" s="241">
        <f t="shared" si="21"/>
        <v>-267.8</v>
      </c>
      <c r="X88" s="241">
        <f t="shared" si="21"/>
        <v>-263.40000000000003</v>
      </c>
      <c r="Y88" s="241">
        <f t="shared" si="21"/>
        <v>-271.8</v>
      </c>
      <c r="Z88" s="241">
        <f t="shared" si="21"/>
        <v>-200.5</v>
      </c>
      <c r="AA88" s="241">
        <f t="shared" si="21"/>
        <v>-185.2</v>
      </c>
      <c r="AB88" s="241">
        <f t="shared" si="21"/>
        <v>-171.2</v>
      </c>
      <c r="AC88" s="241">
        <f t="shared" si="21"/>
        <v>-125.7</v>
      </c>
      <c r="AD88" s="241">
        <f t="shared" si="21"/>
        <v>-127.4</v>
      </c>
      <c r="AE88" s="241">
        <f t="shared" si="21"/>
        <v>-231.31</v>
      </c>
      <c r="AF88" s="241">
        <f t="shared" si="21"/>
        <v>-318</v>
      </c>
      <c r="AG88" s="261"/>
      <c r="AH88" s="226">
        <f t="shared" si="13"/>
        <v>0</v>
      </c>
      <c r="AI88" s="227">
        <f t="shared" si="15"/>
        <v>-410.6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50.045999999999999</v>
      </c>
      <c r="C89" s="269">
        <v>49.954999999999998</v>
      </c>
      <c r="D89" s="269">
        <v>49.996000000000002</v>
      </c>
      <c r="E89" s="269">
        <v>50.030999999999999</v>
      </c>
      <c r="F89" s="269">
        <v>50.027000000000001</v>
      </c>
      <c r="G89" s="269">
        <v>50.006999999999998</v>
      </c>
      <c r="H89" s="269">
        <v>50.006999999999998</v>
      </c>
      <c r="I89" s="269">
        <v>49.985999999999997</v>
      </c>
      <c r="J89" s="269">
        <v>49.98</v>
      </c>
      <c r="K89" s="269">
        <v>49.981000000000002</v>
      </c>
      <c r="L89" s="269">
        <v>50.027000000000001</v>
      </c>
      <c r="M89" s="269">
        <v>50.027000000000001</v>
      </c>
      <c r="N89" s="269">
        <v>50.027000000000001</v>
      </c>
      <c r="O89" s="269">
        <v>50.01</v>
      </c>
      <c r="P89" s="269">
        <v>50.01</v>
      </c>
      <c r="Q89" s="269">
        <v>49.953000000000003</v>
      </c>
      <c r="R89" s="269"/>
      <c r="S89" s="269">
        <v>49.898000000000003</v>
      </c>
      <c r="T89" s="269">
        <v>49.924999999999997</v>
      </c>
      <c r="U89" s="269">
        <v>49.819000000000003</v>
      </c>
      <c r="V89" s="269">
        <v>49.914999999999999</v>
      </c>
      <c r="W89" s="269">
        <v>50.006</v>
      </c>
      <c r="X89" s="269">
        <v>49.942999999999998</v>
      </c>
      <c r="Y89" s="269">
        <v>50</v>
      </c>
      <c r="Z89" s="269">
        <v>50.05</v>
      </c>
      <c r="AA89" s="269">
        <v>50.057000000000002</v>
      </c>
      <c r="AB89" s="269">
        <v>50.02</v>
      </c>
      <c r="AC89" s="269">
        <v>50.01</v>
      </c>
      <c r="AD89" s="269">
        <v>50.051000000000002</v>
      </c>
      <c r="AE89" s="269">
        <v>49.978999999999999</v>
      </c>
      <c r="AF89" s="269"/>
      <c r="AG89" s="270"/>
      <c r="AH89" s="226">
        <f t="shared" si="13"/>
        <v>50.057000000000002</v>
      </c>
      <c r="AI89" s="227">
        <f t="shared" si="15"/>
        <v>49.819000000000003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123.8</v>
      </c>
      <c r="C90" s="245">
        <v>123.6</v>
      </c>
      <c r="D90" s="245">
        <v>122.7</v>
      </c>
      <c r="E90" s="245">
        <v>124</v>
      </c>
      <c r="F90" s="245">
        <v>125</v>
      </c>
      <c r="G90" s="245">
        <v>123.7</v>
      </c>
      <c r="H90" s="245">
        <v>125.5</v>
      </c>
      <c r="I90" s="245">
        <v>124.5</v>
      </c>
      <c r="J90" s="245">
        <v>124.1</v>
      </c>
      <c r="K90" s="245">
        <v>123.8</v>
      </c>
      <c r="L90" s="245">
        <v>123.2</v>
      </c>
      <c r="M90" s="245">
        <v>123.2</v>
      </c>
      <c r="N90" s="245">
        <v>123.2</v>
      </c>
      <c r="O90" s="245">
        <v>124</v>
      </c>
      <c r="P90" s="245">
        <v>124</v>
      </c>
      <c r="Q90" s="245">
        <v>124</v>
      </c>
      <c r="R90" s="245"/>
      <c r="S90" s="245">
        <v>123.9</v>
      </c>
      <c r="T90" s="245">
        <v>125.2</v>
      </c>
      <c r="U90" s="245">
        <v>124.6</v>
      </c>
      <c r="V90" s="245">
        <v>125.4</v>
      </c>
      <c r="W90" s="245">
        <v>124.3</v>
      </c>
      <c r="X90" s="245">
        <v>124.6</v>
      </c>
      <c r="Y90" s="245">
        <v>123.8</v>
      </c>
      <c r="Z90" s="245">
        <v>123.8</v>
      </c>
      <c r="AA90" s="245">
        <v>123.5</v>
      </c>
      <c r="AB90" s="245">
        <v>123.9</v>
      </c>
      <c r="AC90" s="245">
        <v>123.2</v>
      </c>
      <c r="AD90" s="245">
        <v>122.6</v>
      </c>
      <c r="AE90" s="245">
        <v>123</v>
      </c>
      <c r="AF90" s="245"/>
      <c r="AG90" s="272"/>
      <c r="AH90" s="226">
        <f t="shared" si="13"/>
        <v>125.5</v>
      </c>
      <c r="AI90" s="227">
        <f t="shared" si="15"/>
        <v>122.6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128.19999999999999</v>
      </c>
      <c r="C91" s="245">
        <v>127.7</v>
      </c>
      <c r="D91" s="245">
        <v>127.6</v>
      </c>
      <c r="E91" s="245">
        <v>128.19999999999999</v>
      </c>
      <c r="F91" s="245">
        <v>128.69999999999999</v>
      </c>
      <c r="G91" s="245">
        <v>127.8</v>
      </c>
      <c r="H91" s="245">
        <v>128.69999999999999</v>
      </c>
      <c r="I91" s="245">
        <v>128.19999999999999</v>
      </c>
      <c r="J91" s="245">
        <v>127.7</v>
      </c>
      <c r="K91" s="245">
        <v>127</v>
      </c>
      <c r="L91" s="245">
        <v>126.6</v>
      </c>
      <c r="M91" s="245">
        <v>126.6</v>
      </c>
      <c r="N91" s="245">
        <v>126.6</v>
      </c>
      <c r="O91" s="245">
        <v>127</v>
      </c>
      <c r="P91" s="245">
        <v>127</v>
      </c>
      <c r="Q91" s="245">
        <v>127</v>
      </c>
      <c r="R91" s="245"/>
      <c r="S91" s="245">
        <v>127</v>
      </c>
      <c r="T91" s="245">
        <v>127.9</v>
      </c>
      <c r="U91" s="245">
        <v>127.7</v>
      </c>
      <c r="V91" s="245">
        <v>128.5</v>
      </c>
      <c r="W91" s="245">
        <v>127.6</v>
      </c>
      <c r="X91" s="245">
        <v>127.8</v>
      </c>
      <c r="Y91" s="245">
        <v>127.2</v>
      </c>
      <c r="Z91" s="245">
        <v>126.8</v>
      </c>
      <c r="AA91" s="245">
        <v>126.6</v>
      </c>
      <c r="AB91" s="245">
        <v>127</v>
      </c>
      <c r="AC91" s="245">
        <v>126.4</v>
      </c>
      <c r="AD91" s="245">
        <v>126.6</v>
      </c>
      <c r="AE91" s="245">
        <v>128</v>
      </c>
      <c r="AF91" s="245"/>
      <c r="AG91" s="272"/>
      <c r="AH91" s="226">
        <f t="shared" si="13"/>
        <v>128.69999999999999</v>
      </c>
      <c r="AI91" s="227">
        <f t="shared" si="15"/>
        <v>126.4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128.69999999999999</v>
      </c>
      <c r="C92" s="245">
        <v>128.9</v>
      </c>
      <c r="D92" s="245">
        <v>129.19999999999999</v>
      </c>
      <c r="E92" s="245">
        <v>127.7</v>
      </c>
      <c r="F92" s="245">
        <v>130.4</v>
      </c>
      <c r="G92" s="245">
        <v>129.9</v>
      </c>
      <c r="H92" s="245">
        <v>131.1</v>
      </c>
      <c r="I92" s="245">
        <v>131.5</v>
      </c>
      <c r="J92" s="245">
        <v>128.6</v>
      </c>
      <c r="K92" s="245">
        <v>129.6</v>
      </c>
      <c r="L92" s="245">
        <v>129.1</v>
      </c>
      <c r="M92" s="245">
        <v>129.1</v>
      </c>
      <c r="N92" s="245">
        <v>129.1</v>
      </c>
      <c r="O92" s="245">
        <v>130</v>
      </c>
      <c r="P92" s="245">
        <v>130</v>
      </c>
      <c r="Q92" s="245">
        <v>130</v>
      </c>
      <c r="R92" s="245"/>
      <c r="S92" s="245">
        <v>129.4</v>
      </c>
      <c r="T92" s="245">
        <v>130.4</v>
      </c>
      <c r="U92" s="245">
        <v>128.9</v>
      </c>
      <c r="V92" s="245">
        <v>130.69999999999999</v>
      </c>
      <c r="W92" s="245">
        <v>130.80000000000001</v>
      </c>
      <c r="X92" s="245">
        <v>131</v>
      </c>
      <c r="Y92" s="245">
        <v>130.19999999999999</v>
      </c>
      <c r="Z92" s="245">
        <v>128.69999999999999</v>
      </c>
      <c r="AA92" s="245">
        <v>127.8</v>
      </c>
      <c r="AB92" s="245">
        <v>130.19999999999999</v>
      </c>
      <c r="AC92" s="245">
        <v>129</v>
      </c>
      <c r="AD92" s="245">
        <v>127.7</v>
      </c>
      <c r="AE92" s="245">
        <v>129</v>
      </c>
      <c r="AF92" s="245"/>
      <c r="AG92" s="272"/>
      <c r="AH92" s="226">
        <f t="shared" si="13"/>
        <v>131.5</v>
      </c>
      <c r="AI92" s="227">
        <f t="shared" si="15"/>
        <v>127.7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0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</v>
      </c>
      <c r="C94" s="274">
        <v>132.80000000000001</v>
      </c>
      <c r="D94" s="274">
        <v>132.5</v>
      </c>
      <c r="E94" s="274">
        <v>131.80000000000001</v>
      </c>
      <c r="F94" s="274">
        <v>133.1</v>
      </c>
      <c r="G94" s="274">
        <v>133.69999999999999</v>
      </c>
      <c r="H94" s="274">
        <v>134.1</v>
      </c>
      <c r="I94" s="274">
        <v>133.19999999999999</v>
      </c>
      <c r="J94" s="274">
        <v>132.4</v>
      </c>
      <c r="K94" s="274">
        <v>132.4</v>
      </c>
      <c r="L94" s="274">
        <v>132</v>
      </c>
      <c r="M94" s="274">
        <v>132</v>
      </c>
      <c r="N94" s="274">
        <v>132</v>
      </c>
      <c r="O94" s="274">
        <v>135</v>
      </c>
      <c r="P94" s="274">
        <v>135</v>
      </c>
      <c r="Q94" s="274">
        <v>135</v>
      </c>
      <c r="R94" s="274"/>
      <c r="S94" s="274">
        <v>129.1</v>
      </c>
      <c r="T94" s="274">
        <v>135.6</v>
      </c>
      <c r="U94" s="274">
        <v>133.30000000000001</v>
      </c>
      <c r="V94" s="274">
        <v>133.9</v>
      </c>
      <c r="W94" s="274">
        <v>132.6</v>
      </c>
      <c r="X94" s="274">
        <v>133.69999999999999</v>
      </c>
      <c r="Y94" s="274">
        <v>131.69999999999999</v>
      </c>
      <c r="Z94" s="274">
        <v>132.5</v>
      </c>
      <c r="AA94" s="274">
        <v>130.69999999999999</v>
      </c>
      <c r="AB94" s="274">
        <v>133.69999999999999</v>
      </c>
      <c r="AC94" s="274">
        <v>128.5</v>
      </c>
      <c r="AD94" s="274">
        <v>134</v>
      </c>
      <c r="AE94" s="274">
        <v>133</v>
      </c>
      <c r="AF94" s="274"/>
      <c r="AG94" s="275"/>
      <c r="AH94" s="226">
        <f t="shared" si="13"/>
        <v>135.6</v>
      </c>
      <c r="AI94" s="227">
        <f t="shared" si="15"/>
        <v>128.5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122.8</v>
      </c>
      <c r="C95" s="245">
        <v>124.7</v>
      </c>
      <c r="D95" s="245">
        <v>121.6</v>
      </c>
      <c r="E95" s="245">
        <v>126.8</v>
      </c>
      <c r="F95" s="245">
        <v>126.8</v>
      </c>
      <c r="G95" s="245">
        <v>129</v>
      </c>
      <c r="H95" s="245">
        <v>130.4</v>
      </c>
      <c r="I95" s="245">
        <v>130.1</v>
      </c>
      <c r="J95" s="245">
        <v>129.19999999999999</v>
      </c>
      <c r="K95" s="245">
        <v>127</v>
      </c>
      <c r="L95" s="245">
        <v>125.7</v>
      </c>
      <c r="M95" s="245">
        <v>125.7</v>
      </c>
      <c r="N95" s="245">
        <v>125.7</v>
      </c>
      <c r="O95" s="245">
        <v>130</v>
      </c>
      <c r="P95" s="245">
        <v>130</v>
      </c>
      <c r="Q95" s="245">
        <v>130</v>
      </c>
      <c r="R95" s="245"/>
      <c r="S95" s="245">
        <v>123</v>
      </c>
      <c r="T95" s="245">
        <v>133.30000000000001</v>
      </c>
      <c r="U95" s="245">
        <v>129.1</v>
      </c>
      <c r="V95" s="245">
        <v>129</v>
      </c>
      <c r="W95" s="245">
        <v>130.6</v>
      </c>
      <c r="X95" s="245">
        <v>129.5</v>
      </c>
      <c r="Y95" s="245">
        <v>127.4</v>
      </c>
      <c r="Z95" s="245">
        <v>126.3</v>
      </c>
      <c r="AA95" s="245">
        <v>121.3</v>
      </c>
      <c r="AB95" s="245">
        <v>120.3</v>
      </c>
      <c r="AC95" s="245">
        <v>123.5</v>
      </c>
      <c r="AD95" s="245">
        <v>130</v>
      </c>
      <c r="AE95" s="245">
        <v>131</v>
      </c>
      <c r="AF95" s="245"/>
      <c r="AG95" s="272"/>
      <c r="AH95" s="226">
        <f t="shared" si="13"/>
        <v>133.30000000000001</v>
      </c>
      <c r="AI95" s="227">
        <f t="shared" si="15"/>
        <v>120.3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</v>
      </c>
      <c r="C96" s="276">
        <v>65</v>
      </c>
      <c r="D96" s="276">
        <v>64.8</v>
      </c>
      <c r="E96" s="276">
        <v>65.8</v>
      </c>
      <c r="F96" s="276">
        <v>65.400000000000006</v>
      </c>
      <c r="G96" s="276">
        <v>64.900000000000006</v>
      </c>
      <c r="H96" s="276">
        <v>65.3</v>
      </c>
      <c r="I96" s="276">
        <v>65.3</v>
      </c>
      <c r="J96" s="276">
        <v>64.8</v>
      </c>
      <c r="K96" s="276">
        <v>64.5</v>
      </c>
      <c r="L96" s="276">
        <v>64.099999999999994</v>
      </c>
      <c r="M96" s="276">
        <v>64.099999999999994</v>
      </c>
      <c r="N96" s="276">
        <v>64.099999999999994</v>
      </c>
      <c r="O96" s="276">
        <v>64.599999999999994</v>
      </c>
      <c r="P96" s="276">
        <v>64.599999999999994</v>
      </c>
      <c r="Q96" s="276">
        <v>64.599999999999994</v>
      </c>
      <c r="R96" s="276"/>
      <c r="S96" s="276">
        <v>64.400000000000006</v>
      </c>
      <c r="T96" s="276">
        <v>65</v>
      </c>
      <c r="U96" s="276">
        <v>64.7</v>
      </c>
      <c r="V96" s="276">
        <v>65.400000000000006</v>
      </c>
      <c r="W96" s="276">
        <v>64.8</v>
      </c>
      <c r="X96" s="276">
        <v>64.8</v>
      </c>
      <c r="Y96" s="276">
        <v>64.3</v>
      </c>
      <c r="Z96" s="276">
        <v>64.099999999999994</v>
      </c>
      <c r="AA96" s="276">
        <v>64.2</v>
      </c>
      <c r="AB96" s="276">
        <v>64.2</v>
      </c>
      <c r="AC96" s="276">
        <v>64</v>
      </c>
      <c r="AD96" s="276">
        <v>64.2</v>
      </c>
      <c r="AE96" s="276">
        <v>65</v>
      </c>
      <c r="AF96" s="276"/>
      <c r="AG96" s="277"/>
      <c r="AH96" s="226">
        <f t="shared" si="13"/>
        <v>65.8</v>
      </c>
      <c r="AI96" s="227">
        <f t="shared" si="15"/>
        <v>64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54.500000000000007</v>
      </c>
      <c r="C98" s="280">
        <f t="shared" si="22"/>
        <v>77.94</v>
      </c>
      <c r="D98" s="280">
        <f t="shared" si="22"/>
        <v>65.84</v>
      </c>
      <c r="E98" s="280">
        <f t="shared" si="22"/>
        <v>23.939999999999994</v>
      </c>
      <c r="F98" s="280">
        <f t="shared" si="22"/>
        <v>-2.9599999999999951</v>
      </c>
      <c r="G98" s="280">
        <f t="shared" si="22"/>
        <v>20.14</v>
      </c>
      <c r="H98" s="280">
        <f t="shared" si="22"/>
        <v>38.840000000000018</v>
      </c>
      <c r="I98" s="280">
        <f t="shared" si="22"/>
        <v>56.239999999999995</v>
      </c>
      <c r="J98" s="280">
        <f t="shared" si="22"/>
        <v>90.44</v>
      </c>
      <c r="K98" s="280">
        <f t="shared" si="22"/>
        <v>125.34000000000002</v>
      </c>
      <c r="L98" s="280">
        <f t="shared" si="22"/>
        <v>148.54</v>
      </c>
      <c r="M98" s="280">
        <f t="shared" si="22"/>
        <v>189.34</v>
      </c>
      <c r="N98" s="280">
        <f t="shared" si="22"/>
        <v>136.34</v>
      </c>
      <c r="O98" s="280">
        <f t="shared" si="22"/>
        <v>137.34</v>
      </c>
      <c r="P98" s="280">
        <f t="shared" si="22"/>
        <v>156.34</v>
      </c>
      <c r="Q98" s="280">
        <f t="shared" si="22"/>
        <v>204</v>
      </c>
      <c r="R98" s="280">
        <f t="shared" si="22"/>
        <v>69</v>
      </c>
      <c r="S98" s="280">
        <f t="shared" si="22"/>
        <v>94.9</v>
      </c>
      <c r="T98" s="280">
        <f t="shared" si="22"/>
        <v>102.39999999999999</v>
      </c>
      <c r="U98" s="280">
        <f t="shared" si="22"/>
        <v>94.500000000000014</v>
      </c>
      <c r="V98" s="280">
        <f t="shared" si="22"/>
        <v>97.100000000000009</v>
      </c>
      <c r="W98" s="280">
        <f t="shared" si="22"/>
        <v>99</v>
      </c>
      <c r="X98" s="280">
        <f t="shared" si="22"/>
        <v>108.89999999999998</v>
      </c>
      <c r="Y98" s="280">
        <f t="shared" si="22"/>
        <v>110</v>
      </c>
      <c r="Z98" s="280">
        <f t="shared" si="22"/>
        <v>225.9</v>
      </c>
      <c r="AA98" s="280">
        <f t="shared" si="22"/>
        <v>227.7</v>
      </c>
      <c r="AB98" s="280">
        <f t="shared" si="22"/>
        <v>200.2</v>
      </c>
      <c r="AC98" s="280">
        <f t="shared" si="22"/>
        <v>185.60000000000002</v>
      </c>
      <c r="AD98" s="280">
        <f t="shared" si="22"/>
        <v>168.10000000000002</v>
      </c>
      <c r="AE98" s="280">
        <f t="shared" si="22"/>
        <v>111.40000000000003</v>
      </c>
      <c r="AF98" s="280">
        <f t="shared" si="22"/>
        <v>191.00000000000003</v>
      </c>
      <c r="AG98" s="281"/>
      <c r="AH98" s="226">
        <f>MAX(C98:AF98)</f>
        <v>227.7</v>
      </c>
      <c r="AI98" s="227">
        <f>MIN(C98:AF98)</f>
        <v>-2.9599999999999951</v>
      </c>
    </row>
    <row r="99" spans="1:37" x14ac:dyDescent="0.25">
      <c r="A99" s="268" t="s">
        <v>103</v>
      </c>
      <c r="B99" s="282">
        <v>16</v>
      </c>
      <c r="C99" s="282">
        <v>21.6</v>
      </c>
      <c r="D99" s="282">
        <v>22.1</v>
      </c>
      <c r="E99" s="282">
        <v>6.7</v>
      </c>
      <c r="F99" s="282">
        <v>9.1999999999999993</v>
      </c>
      <c r="G99" s="282">
        <v>14.1</v>
      </c>
      <c r="H99" s="282">
        <v>13.8</v>
      </c>
      <c r="I99" s="282">
        <v>16.2</v>
      </c>
      <c r="J99" s="282">
        <v>14.6</v>
      </c>
      <c r="K99" s="282">
        <v>18.8</v>
      </c>
      <c r="L99" s="282">
        <v>20.8</v>
      </c>
      <c r="M99" s="282">
        <f>29+18</f>
        <v>47</v>
      </c>
      <c r="N99" s="282">
        <v>25</v>
      </c>
      <c r="O99" s="282">
        <v>18</v>
      </c>
      <c r="P99" s="282">
        <v>52</v>
      </c>
      <c r="Q99" s="282">
        <v>75</v>
      </c>
      <c r="R99" s="282"/>
      <c r="S99" s="282">
        <v>36</v>
      </c>
      <c r="T99" s="282">
        <v>31.1</v>
      </c>
      <c r="U99" s="282">
        <v>30.7</v>
      </c>
      <c r="V99" s="282">
        <v>28.2</v>
      </c>
      <c r="W99" s="282">
        <v>27.4</v>
      </c>
      <c r="X99" s="282">
        <v>26.7</v>
      </c>
      <c r="Y99" s="282">
        <v>20.100000000000001</v>
      </c>
      <c r="Z99" s="282">
        <v>20.9</v>
      </c>
      <c r="AA99" s="282">
        <v>22.2</v>
      </c>
      <c r="AB99" s="282">
        <v>23.5</v>
      </c>
      <c r="AC99" s="282">
        <v>20</v>
      </c>
      <c r="AD99" s="282">
        <v>18.600000000000001</v>
      </c>
      <c r="AE99" s="282">
        <v>20</v>
      </c>
      <c r="AF99" s="282"/>
      <c r="AG99" s="283">
        <v>75</v>
      </c>
      <c r="AH99" s="226">
        <f t="shared" ref="AH99:AH106" si="23">IF(ABS(MAX(C99:AF99))&gt;ABS(MIN(C99:AF99)),MAX(C99:AF99),MIN(C99:AF99))</f>
        <v>75</v>
      </c>
      <c r="AI99" s="284">
        <f t="shared" ref="AI99:AI106" si="24">INDEX($C$9:$AF$9,1,MATCH(AH99,C99:AF99,0))</f>
        <v>0.5</v>
      </c>
    </row>
    <row r="100" spans="1:37" x14ac:dyDescent="0.25">
      <c r="A100" s="271" t="s">
        <v>104</v>
      </c>
      <c r="B100" s="285">
        <f>-72-66</f>
        <v>-138</v>
      </c>
      <c r="C100" s="285">
        <f>-58-64</f>
        <v>-122</v>
      </c>
      <c r="D100" s="285">
        <f>-61.4-66.1</f>
        <v>-127.5</v>
      </c>
      <c r="E100" s="285">
        <f>-58.3-64.7</f>
        <v>-123</v>
      </c>
      <c r="F100" s="285">
        <f>-61-67.2</f>
        <v>-128.19999999999999</v>
      </c>
      <c r="G100" s="285">
        <f>-62.6-68.9</f>
        <v>-131.5</v>
      </c>
      <c r="H100" s="285">
        <f>-54.5-60.6</f>
        <v>-115.1</v>
      </c>
      <c r="I100" s="285">
        <f>-49-53.5</f>
        <v>-102.5</v>
      </c>
      <c r="J100" s="285">
        <f>-34.5-39.4</f>
        <v>-73.900000000000006</v>
      </c>
      <c r="K100" s="285">
        <f>-26-29.2</f>
        <v>-55.2</v>
      </c>
      <c r="L100" s="285">
        <f>-22.6-25.1</f>
        <v>-47.7</v>
      </c>
      <c r="M100" s="285">
        <v>-83</v>
      </c>
      <c r="N100" s="285">
        <v>-60</v>
      </c>
      <c r="O100" s="285">
        <v>-50</v>
      </c>
      <c r="P100" s="285">
        <v>-51</v>
      </c>
      <c r="Q100" s="285">
        <v>34</v>
      </c>
      <c r="R100" s="285"/>
      <c r="S100" s="285">
        <v>-85.4</v>
      </c>
      <c r="T100" s="285">
        <v>-70.400000000000006</v>
      </c>
      <c r="U100" s="285">
        <v>-70.3</v>
      </c>
      <c r="V100" s="285">
        <v>-65.3</v>
      </c>
      <c r="W100" s="285">
        <v>-74.5</v>
      </c>
      <c r="X100" s="285">
        <v>-69.2</v>
      </c>
      <c r="Y100" s="285">
        <v>-69.599999999999994</v>
      </c>
      <c r="Z100" s="285">
        <v>-60.2</v>
      </c>
      <c r="AA100" s="285">
        <v>-64.5</v>
      </c>
      <c r="AB100" s="285">
        <f>-38.8-36.7</f>
        <v>-75.5</v>
      </c>
      <c r="AC100" s="285">
        <f>-39.8-42.6</f>
        <v>-82.4</v>
      </c>
      <c r="AD100" s="285">
        <v>-91</v>
      </c>
      <c r="AE100" s="285">
        <v>-122</v>
      </c>
      <c r="AF100" s="285"/>
      <c r="AG100" s="283">
        <v>240</v>
      </c>
      <c r="AH100" s="226">
        <f t="shared" si="23"/>
        <v>-131.5</v>
      </c>
      <c r="AI100" s="284">
        <f t="shared" si="24"/>
        <v>0.20833333333333301</v>
      </c>
    </row>
    <row r="101" spans="1:37" x14ac:dyDescent="0.25">
      <c r="A101" s="271" t="s">
        <v>105</v>
      </c>
      <c r="B101" s="285">
        <v>-0.9</v>
      </c>
      <c r="C101" s="285">
        <v>0</v>
      </c>
      <c r="D101" s="285">
        <v>-3.1</v>
      </c>
      <c r="E101" s="285">
        <v>-14.1</v>
      </c>
      <c r="F101" s="285">
        <v>-16.3</v>
      </c>
      <c r="G101" s="285">
        <v>-14.8</v>
      </c>
      <c r="H101" s="285">
        <v>-12.2</v>
      </c>
      <c r="I101" s="285">
        <v>-9.8000000000000007</v>
      </c>
      <c r="J101" s="285">
        <v>-7.6</v>
      </c>
      <c r="K101" s="285">
        <v>-2.6</v>
      </c>
      <c r="L101" s="285">
        <v>11.1</v>
      </c>
      <c r="M101" s="285">
        <v>9</v>
      </c>
      <c r="N101" s="285">
        <v>12</v>
      </c>
      <c r="O101" s="285">
        <v>14</v>
      </c>
      <c r="P101" s="285">
        <v>15</v>
      </c>
      <c r="Q101" s="285">
        <v>16</v>
      </c>
      <c r="R101" s="285"/>
      <c r="S101" s="285">
        <v>10.4</v>
      </c>
      <c r="T101" s="285">
        <v>11.8</v>
      </c>
      <c r="U101" s="285">
        <v>9.4</v>
      </c>
      <c r="V101" s="285">
        <v>9.5</v>
      </c>
      <c r="W101" s="285">
        <v>6.9</v>
      </c>
      <c r="X101" s="285">
        <v>9.6999999999999993</v>
      </c>
      <c r="Y101" s="285">
        <v>5.4</v>
      </c>
      <c r="Z101" s="285">
        <v>9.5</v>
      </c>
      <c r="AA101" s="285">
        <v>15.8</v>
      </c>
      <c r="AB101" s="285">
        <v>-5.3</v>
      </c>
      <c r="AC101" s="285">
        <v>-8.4</v>
      </c>
      <c r="AD101" s="285">
        <v>-10.9</v>
      </c>
      <c r="AE101" s="285">
        <v>-6.6</v>
      </c>
      <c r="AF101" s="285"/>
      <c r="AG101" s="283">
        <v>60</v>
      </c>
      <c r="AH101" s="226">
        <f t="shared" si="23"/>
        <v>-16.3</v>
      </c>
      <c r="AI101" s="284">
        <f t="shared" si="24"/>
        <v>0.16666666666666699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57</v>
      </c>
      <c r="N102" s="287">
        <v>0</v>
      </c>
      <c r="O102" s="287">
        <v>0</v>
      </c>
      <c r="P102" s="287">
        <v>0</v>
      </c>
      <c r="Q102" s="287">
        <v>0</v>
      </c>
      <c r="R102" s="287"/>
      <c r="S102" s="287">
        <v>0</v>
      </c>
      <c r="T102" s="287">
        <v>0</v>
      </c>
      <c r="U102" s="287">
        <v>0</v>
      </c>
      <c r="V102" s="287">
        <v>0</v>
      </c>
      <c r="W102" s="287">
        <v>0</v>
      </c>
      <c r="X102" s="287">
        <v>0</v>
      </c>
      <c r="Y102" s="287">
        <v>0</v>
      </c>
      <c r="Z102" s="287">
        <v>71.599999999999994</v>
      </c>
      <c r="AA102" s="287">
        <v>62.1</v>
      </c>
      <c r="AB102" s="287">
        <v>65.8</v>
      </c>
      <c r="AC102" s="287">
        <v>64.7</v>
      </c>
      <c r="AD102" s="287">
        <v>60.4</v>
      </c>
      <c r="AE102" s="287">
        <v>29</v>
      </c>
      <c r="AF102" s="287"/>
      <c r="AG102" s="288">
        <v>120</v>
      </c>
      <c r="AH102" s="226">
        <f t="shared" si="23"/>
        <v>71.599999999999994</v>
      </c>
      <c r="AI102" s="284">
        <f t="shared" si="24"/>
        <v>0.79166666666666663</v>
      </c>
    </row>
    <row r="103" spans="1:37" x14ac:dyDescent="0.25">
      <c r="A103" s="286" t="s">
        <v>107</v>
      </c>
      <c r="B103" s="287">
        <v>29.7</v>
      </c>
      <c r="C103" s="287">
        <v>46.7</v>
      </c>
      <c r="D103" s="287">
        <v>40.4</v>
      </c>
      <c r="E103" s="287">
        <v>47</v>
      </c>
      <c r="F103" s="287">
        <v>46.2</v>
      </c>
      <c r="G103" s="287">
        <v>45.5</v>
      </c>
      <c r="H103" s="287">
        <v>54.4</v>
      </c>
      <c r="I103" s="287">
        <v>55.9</v>
      </c>
      <c r="J103" s="287">
        <v>75.8</v>
      </c>
      <c r="K103" s="287">
        <v>84.2</v>
      </c>
      <c r="L103" s="287">
        <v>87.4</v>
      </c>
      <c r="M103" s="287">
        <v>58</v>
      </c>
      <c r="N103" s="287">
        <v>68</v>
      </c>
      <c r="O103" s="287">
        <v>80</v>
      </c>
      <c r="P103" s="287">
        <v>56</v>
      </c>
      <c r="Q103" s="287">
        <v>81</v>
      </c>
      <c r="R103" s="287"/>
      <c r="S103" s="287">
        <v>49.3</v>
      </c>
      <c r="T103" s="287">
        <v>51.2</v>
      </c>
      <c r="U103" s="287">
        <v>50.9</v>
      </c>
      <c r="V103" s="287">
        <v>56</v>
      </c>
      <c r="W103" s="287">
        <v>41.3</v>
      </c>
      <c r="X103" s="287">
        <v>44</v>
      </c>
      <c r="Y103" s="287">
        <v>61.3</v>
      </c>
      <c r="Z103" s="287">
        <v>62.2</v>
      </c>
      <c r="AA103" s="287">
        <v>63</v>
      </c>
      <c r="AB103" s="287">
        <v>66.5</v>
      </c>
      <c r="AC103" s="287">
        <v>71.3</v>
      </c>
      <c r="AD103" s="287">
        <v>69.900000000000006</v>
      </c>
      <c r="AE103" s="287">
        <v>44.8</v>
      </c>
      <c r="AF103" s="287"/>
      <c r="AG103" s="288"/>
      <c r="AH103" s="226">
        <f t="shared" si="23"/>
        <v>87.4</v>
      </c>
      <c r="AI103" s="284">
        <f t="shared" si="24"/>
        <v>0.3125</v>
      </c>
    </row>
    <row r="104" spans="1:37" x14ac:dyDescent="0.25">
      <c r="A104" s="286" t="s">
        <v>108</v>
      </c>
      <c r="B104" s="287">
        <v>55.3</v>
      </c>
      <c r="C104" s="287">
        <v>47</v>
      </c>
      <c r="D104" s="287">
        <v>35.5</v>
      </c>
      <c r="E104" s="287">
        <v>61</v>
      </c>
      <c r="F104" s="287">
        <v>48.8</v>
      </c>
      <c r="G104" s="287">
        <v>44.5</v>
      </c>
      <c r="H104" s="287">
        <v>63.2</v>
      </c>
      <c r="I104" s="287">
        <v>29.7</v>
      </c>
      <c r="J104" s="287">
        <v>51.2</v>
      </c>
      <c r="K104" s="287">
        <v>7.3</v>
      </c>
      <c r="L104" s="287">
        <v>0.5</v>
      </c>
      <c r="M104" s="287">
        <v>-5</v>
      </c>
      <c r="N104" s="287">
        <v>1</v>
      </c>
      <c r="O104" s="287">
        <v>2</v>
      </c>
      <c r="P104" s="287">
        <v>-2</v>
      </c>
      <c r="Q104" s="287">
        <v>26</v>
      </c>
      <c r="R104" s="287"/>
      <c r="S104" s="287">
        <v>0</v>
      </c>
      <c r="T104" s="287">
        <v>13.9</v>
      </c>
      <c r="U104" s="287">
        <v>15.8</v>
      </c>
      <c r="V104" s="287">
        <v>27.6</v>
      </c>
      <c r="W104" s="287">
        <v>17.899999999999999</v>
      </c>
      <c r="X104" s="287">
        <v>26.1</v>
      </c>
      <c r="Y104" s="287">
        <v>40.200000000000003</v>
      </c>
      <c r="Z104" s="287">
        <v>45.5</v>
      </c>
      <c r="AA104" s="287">
        <v>59.3</v>
      </c>
      <c r="AB104" s="287">
        <v>53.4</v>
      </c>
      <c r="AC104" s="287">
        <v>55</v>
      </c>
      <c r="AD104" s="287">
        <v>58.9</v>
      </c>
      <c r="AE104" s="287">
        <v>53.7</v>
      </c>
      <c r="AF104" s="287"/>
      <c r="AG104" s="289"/>
      <c r="AH104" s="226">
        <f t="shared" si="23"/>
        <v>63.2</v>
      </c>
      <c r="AI104" s="284">
        <f t="shared" si="24"/>
        <v>0.22916666666666666</v>
      </c>
    </row>
    <row r="105" spans="1:37" x14ac:dyDescent="0.25">
      <c r="A105" s="290" t="s">
        <v>109</v>
      </c>
      <c r="B105" s="274">
        <v>93.7</v>
      </c>
      <c r="C105" s="274">
        <v>96</v>
      </c>
      <c r="D105" s="274">
        <v>99.4</v>
      </c>
      <c r="E105" s="274">
        <v>127</v>
      </c>
      <c r="F105" s="274">
        <v>114</v>
      </c>
      <c r="G105" s="274">
        <v>121</v>
      </c>
      <c r="H105" s="274">
        <v>125.3</v>
      </c>
      <c r="I105" s="274">
        <v>118.6</v>
      </c>
      <c r="J105" s="274">
        <v>122.4</v>
      </c>
      <c r="K105" s="274">
        <v>111</v>
      </c>
      <c r="L105" s="274">
        <v>110.9</v>
      </c>
      <c r="M105" s="274">
        <v>106</v>
      </c>
      <c r="N105" s="274">
        <v>89</v>
      </c>
      <c r="O105" s="274">
        <v>77</v>
      </c>
      <c r="P105" s="274">
        <v>93</v>
      </c>
      <c r="Q105" s="274">
        <v>103</v>
      </c>
      <c r="R105" s="274"/>
      <c r="S105" s="274">
        <v>105.3</v>
      </c>
      <c r="T105" s="274">
        <v>103.7</v>
      </c>
      <c r="U105" s="274">
        <v>104.4</v>
      </c>
      <c r="V105" s="274">
        <v>104.8</v>
      </c>
      <c r="W105" s="274">
        <v>88</v>
      </c>
      <c r="X105" s="274">
        <v>98.4</v>
      </c>
      <c r="Y105" s="274">
        <v>91.8</v>
      </c>
      <c r="Z105" s="274">
        <v>70.400000000000006</v>
      </c>
      <c r="AA105" s="274">
        <v>45.6</v>
      </c>
      <c r="AB105" s="274">
        <v>71.5</v>
      </c>
      <c r="AC105" s="274">
        <v>86.1</v>
      </c>
      <c r="AD105" s="274">
        <v>88.8</v>
      </c>
      <c r="AE105" s="274">
        <v>94.2</v>
      </c>
      <c r="AF105" s="274"/>
      <c r="AG105" s="289"/>
      <c r="AH105" s="226">
        <f t="shared" si="23"/>
        <v>127</v>
      </c>
      <c r="AI105" s="284">
        <f t="shared" si="24"/>
        <v>0.125</v>
      </c>
    </row>
    <row r="106" spans="1:37" ht="15.75" thickBot="1" x14ac:dyDescent="0.3">
      <c r="A106" s="290" t="s">
        <v>110</v>
      </c>
      <c r="B106" s="274">
        <v>87</v>
      </c>
      <c r="C106" s="274">
        <v>81.5</v>
      </c>
      <c r="D106" s="274">
        <v>87.5</v>
      </c>
      <c r="E106" s="274">
        <v>75.400000000000006</v>
      </c>
      <c r="F106" s="274">
        <v>76.5</v>
      </c>
      <c r="G106" s="274">
        <v>81.599999999999994</v>
      </c>
      <c r="H106" s="274">
        <v>63.9</v>
      </c>
      <c r="I106" s="274">
        <v>64</v>
      </c>
      <c r="J106" s="274">
        <v>43.5</v>
      </c>
      <c r="K106" s="274">
        <v>33.700000000000003</v>
      </c>
      <c r="L106" s="274">
        <v>33.700000000000003</v>
      </c>
      <c r="M106" s="274">
        <v>53</v>
      </c>
      <c r="N106" s="274"/>
      <c r="O106" s="274"/>
      <c r="P106" s="274">
        <v>50</v>
      </c>
      <c r="Q106" s="274">
        <v>27</v>
      </c>
      <c r="R106" s="274"/>
      <c r="S106" s="274">
        <v>59.3</v>
      </c>
      <c r="T106" s="274">
        <v>49.4</v>
      </c>
      <c r="U106" s="274">
        <v>46.2</v>
      </c>
      <c r="V106" s="274">
        <v>46.7</v>
      </c>
      <c r="W106" s="274">
        <v>57.6</v>
      </c>
      <c r="X106" s="274">
        <v>46.6</v>
      </c>
      <c r="Y106" s="274">
        <v>37.9</v>
      </c>
      <c r="Z106" s="274">
        <v>33.6</v>
      </c>
      <c r="AA106" s="274">
        <v>36.5</v>
      </c>
      <c r="AB106" s="274">
        <v>33.299999999999997</v>
      </c>
      <c r="AC106" s="274">
        <v>39.1</v>
      </c>
      <c r="AD106" s="274">
        <v>46.9</v>
      </c>
      <c r="AE106" s="274">
        <v>70.900000000000006</v>
      </c>
      <c r="AF106" s="274"/>
      <c r="AG106" s="289"/>
      <c r="AH106" s="226">
        <f t="shared" si="23"/>
        <v>87.5</v>
      </c>
      <c r="AI106" s="284">
        <f t="shared" si="24"/>
        <v>8.3333333333333301E-2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1794.24</v>
      </c>
      <c r="C230" s="333">
        <f>INDEX(G9:N9,1,MATCH(MAX(G79:N79),G79:N79,0))</f>
        <v>0.3125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4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2079/02/4)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2079/02/4)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1827.6399999999999</v>
      </c>
      <c r="U235" s="343">
        <f t="shared" si="31"/>
        <v>1794.3400000000001</v>
      </c>
      <c r="V235" s="343">
        <f t="shared" si="31"/>
        <v>1788.4399999999998</v>
      </c>
      <c r="W235" s="343">
        <f t="shared" si="31"/>
        <v>1771.34</v>
      </c>
      <c r="X235" s="343">
        <f t="shared" si="31"/>
        <v>1724.24</v>
      </c>
      <c r="Y235" s="343">
        <f t="shared" si="31"/>
        <v>1729.44</v>
      </c>
      <c r="Z235" s="343">
        <f t="shared" si="31"/>
        <v>1729.44</v>
      </c>
      <c r="AA235" s="343">
        <f t="shared" si="31"/>
        <v>1734.44</v>
      </c>
      <c r="AB235" s="343">
        <f t="shared" si="31"/>
        <v>1740.94</v>
      </c>
      <c r="AC235" s="343">
        <f t="shared" si="31"/>
        <v>1762.24</v>
      </c>
      <c r="AD235" s="343">
        <f t="shared" si="31"/>
        <v>1794.24</v>
      </c>
      <c r="AE235" s="343">
        <f t="shared" si="31"/>
        <v>1779.24</v>
      </c>
      <c r="AF235" s="343">
        <f t="shared" si="31"/>
        <v>1767.24</v>
      </c>
      <c r="AG235" s="343">
        <f t="shared" si="31"/>
        <v>1654.94</v>
      </c>
      <c r="AH235" s="343">
        <f t="shared" si="31"/>
        <v>1609.94</v>
      </c>
      <c r="AI235" s="343">
        <f t="shared" si="31"/>
        <v>1591.54</v>
      </c>
      <c r="AJ235" s="343">
        <f t="shared" si="31"/>
        <v>1181.94</v>
      </c>
      <c r="AK235" s="343">
        <f t="shared" si="31"/>
        <v>1653.1399999999999</v>
      </c>
      <c r="AL235" s="343">
        <f t="shared" si="31"/>
        <v>1640.84</v>
      </c>
      <c r="AM235" s="343">
        <f t="shared" si="31"/>
        <v>1611.74</v>
      </c>
      <c r="AN235" s="343">
        <f t="shared" si="31"/>
        <v>1617.54</v>
      </c>
      <c r="AO235" s="343">
        <f t="shared" si="31"/>
        <v>1628.04</v>
      </c>
      <c r="AP235" s="343">
        <f t="shared" si="31"/>
        <v>1664.54</v>
      </c>
      <c r="AQ235" s="343">
        <f t="shared" si="31"/>
        <v>1706.84</v>
      </c>
      <c r="AR235" s="343">
        <f t="shared" si="31"/>
        <v>1789.6399999999999</v>
      </c>
      <c r="AS235" s="343">
        <f t="shared" si="31"/>
        <v>1841.54</v>
      </c>
      <c r="AT235" s="343">
        <f t="shared" si="31"/>
        <v>1786.64</v>
      </c>
      <c r="AU235" s="343">
        <f t="shared" si="31"/>
        <v>1808.14</v>
      </c>
      <c r="AV235" s="343">
        <f t="shared" si="31"/>
        <v>1772.04</v>
      </c>
      <c r="AW235" s="343">
        <f t="shared" si="31"/>
        <v>1808.13</v>
      </c>
      <c r="AX235" s="343">
        <f t="shared" si="31"/>
        <v>1816.04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C99:AF105 B9:AF10 U11:AF11">
    <cfRule type="expression" dxfId="7669" priority="233">
      <formula>B$9&gt;=20/24</formula>
    </cfRule>
    <cfRule type="expression" dxfId="7668" priority="234">
      <formula>AND(B$9&gt;=14/24,B$9&lt;20/24)</formula>
    </cfRule>
    <cfRule type="expression" dxfId="7667" priority="235">
      <formula>AND(B$9&gt;=8/24,B$9&lt;14/24)</formula>
    </cfRule>
    <cfRule type="expression" dxfId="7666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7665" priority="228">
      <formula>S$9&gt;=20/24</formula>
    </cfRule>
    <cfRule type="expression" dxfId="7664" priority="229">
      <formula>AND(S$9&gt;=14/24,S$9&lt;20/24)</formula>
    </cfRule>
    <cfRule type="expression" dxfId="7663" priority="230">
      <formula>AND(S$9&gt;=8/24,S$9&lt;14/24)</formula>
    </cfRule>
    <cfRule type="expression" dxfId="7662" priority="231">
      <formula>S$9&lt;8/24</formula>
    </cfRule>
  </conditionalFormatting>
  <conditionalFormatting sqref="AG55 S37:AF37 B12:R16 B35:AF35 S11:AF16">
    <cfRule type="expression" dxfId="7661" priority="227">
      <formula>B11&gt;$AG11</formula>
    </cfRule>
  </conditionalFormatting>
  <conditionalFormatting sqref="A89:A102 A11:A14 A49:A76 A85:A87 A191:A221 A16:A30 A36:A47 A107:A178 A32:A33 A81:A83 A78:A79">
    <cfRule type="expression" dxfId="7660" priority="226">
      <formula>$AH11=0</formula>
    </cfRule>
  </conditionalFormatting>
  <conditionalFormatting sqref="A103">
    <cfRule type="expression" dxfId="7659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658" priority="223">
      <formula>$AH35=0</formula>
    </cfRule>
  </conditionalFormatting>
  <conditionalFormatting sqref="A88">
    <cfRule type="expression" dxfId="7657" priority="222">
      <formula>$AH88=0</formula>
    </cfRule>
  </conditionalFormatting>
  <conditionalFormatting sqref="A15">
    <cfRule type="expression" dxfId="7656" priority="221">
      <formula>$AH15=0</formula>
    </cfRule>
  </conditionalFormatting>
  <conditionalFormatting sqref="A185:A190">
    <cfRule type="expression" dxfId="7655" priority="220">
      <formula>$AH185=0</formula>
    </cfRule>
  </conditionalFormatting>
  <conditionalFormatting sqref="A179:A184">
    <cfRule type="expression" dxfId="7654" priority="219">
      <formula>$AH179=0</formula>
    </cfRule>
  </conditionalFormatting>
  <conditionalFormatting sqref="A48">
    <cfRule type="expression" dxfId="7653" priority="218">
      <formula>$AH48=0</formula>
    </cfRule>
  </conditionalFormatting>
  <conditionalFormatting sqref="A84">
    <cfRule type="expression" dxfId="7652" priority="217">
      <formula>$AH84=0</formula>
    </cfRule>
  </conditionalFormatting>
  <conditionalFormatting sqref="C89:AF89">
    <cfRule type="expression" dxfId="7651" priority="213">
      <formula>C$9&gt;=20/24</formula>
    </cfRule>
    <cfRule type="expression" dxfId="7650" priority="214">
      <formula>AND(C$9&gt;=14/24,C$9&lt;20/24)</formula>
    </cfRule>
    <cfRule type="expression" dxfId="7649" priority="215">
      <formula>AND(C$9&gt;=8/24,C$9&lt;14/24)</formula>
    </cfRule>
    <cfRule type="expression" dxfId="7648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647" priority="239">
      <formula>C$9&gt;=20/24</formula>
    </cfRule>
    <cfRule type="expression" dxfId="7646" priority="240">
      <formula>AND(C$9&gt;=14/24,C$9&lt;20/24)</formula>
    </cfRule>
    <cfRule type="expression" dxfId="7645" priority="241">
      <formula>AND(C$9&gt;=8/24,C$9&lt;14/24)</formula>
    </cfRule>
    <cfRule type="expression" dxfId="7644" priority="242">
      <formula>C$9&lt;8/24</formula>
    </cfRule>
  </conditionalFormatting>
  <conditionalFormatting sqref="A222">
    <cfRule type="expression" dxfId="7643" priority="243">
      <formula>$AH222=0</formula>
    </cfRule>
  </conditionalFormatting>
  <conditionalFormatting sqref="AG234">
    <cfRule type="expression" dxfId="7642" priority="244">
      <formula>B$9&gt;=20/24</formula>
    </cfRule>
    <cfRule type="expression" dxfId="7641" priority="245">
      <formula>AND(B$9&gt;=14/24,B$9&lt;20/24)</formula>
    </cfRule>
    <cfRule type="expression" dxfId="7640" priority="246">
      <formula>AND(B$9&gt;=8/24,B$9&lt;14/24)</formula>
    </cfRule>
    <cfRule type="expression" dxfId="7639" priority="247">
      <formula>B$9&lt;8/24</formula>
    </cfRule>
  </conditionalFormatting>
  <conditionalFormatting sqref="S8">
    <cfRule type="expression" dxfId="7638" priority="208">
      <formula>U$9&gt;=20/24</formula>
    </cfRule>
    <cfRule type="expression" dxfId="7637" priority="209">
      <formula>AND(U$9&gt;=14/24,U$9&lt;20/24)</formula>
    </cfRule>
    <cfRule type="expression" dxfId="7636" priority="210">
      <formula>AND(U$9&gt;=8/24,U$9&lt;14/24)</formula>
    </cfRule>
    <cfRule type="expression" dxfId="7635" priority="211">
      <formula>U$9&lt;8/24</formula>
    </cfRule>
  </conditionalFormatting>
  <conditionalFormatting sqref="AB8">
    <cfRule type="expression" dxfId="7634" priority="204">
      <formula>AD$9&gt;=20/24</formula>
    </cfRule>
    <cfRule type="expression" dxfId="7633" priority="205">
      <formula>AND(AD$9&gt;=14/24,AD$9&lt;20/24)</formula>
    </cfRule>
    <cfRule type="expression" dxfId="7632" priority="206">
      <formula>AND(AD$9&gt;=8/24,AD$9&lt;14/24)</formula>
    </cfRule>
    <cfRule type="expression" dxfId="7631" priority="207">
      <formula>AD$9&lt;8/24</formula>
    </cfRule>
  </conditionalFormatting>
  <conditionalFormatting sqref="AH234:AX234">
    <cfRule type="expression" dxfId="7630" priority="248">
      <formula>AG$9&gt;=20/24</formula>
    </cfRule>
    <cfRule type="expression" dxfId="7629" priority="249">
      <formula>AND(AG$9&gt;=14/24,AG$9&lt;20/24)</formula>
    </cfRule>
    <cfRule type="expression" dxfId="7628" priority="250">
      <formula>AND(AG$9&gt;=8/24,AG$9&lt;14/24)</formula>
    </cfRule>
    <cfRule type="expression" dxfId="7627" priority="251">
      <formula>AG$9&lt;8/24</formula>
    </cfRule>
  </conditionalFormatting>
  <conditionalFormatting sqref="T234">
    <cfRule type="expression" dxfId="7626" priority="252">
      <formula>AX$9&gt;=20/24</formula>
    </cfRule>
    <cfRule type="expression" dxfId="7625" priority="253">
      <formula>AND(AX$9&gt;=14/24,AX$9&lt;20/24)</formula>
    </cfRule>
    <cfRule type="expression" dxfId="7624" priority="254">
      <formula>AND(AX$9&gt;=8/24,AX$9&lt;14/24)</formula>
    </cfRule>
    <cfRule type="expression" dxfId="7623" priority="255">
      <formula>AX$9&lt;8/24</formula>
    </cfRule>
  </conditionalFormatting>
  <conditionalFormatting sqref="A104:A105">
    <cfRule type="expression" dxfId="7622" priority="203">
      <formula>$AH104=0</formula>
    </cfRule>
  </conditionalFormatting>
  <conditionalFormatting sqref="S44:W45 E61:AF61 AA36:AF36 Y44:AF45">
    <cfRule type="expression" dxfId="7621" priority="199">
      <formula>E$9&gt;=20/24</formula>
    </cfRule>
    <cfRule type="expression" dxfId="7620" priority="200">
      <formula>AND(E$9&gt;=14/24,E$9&lt;20/24)</formula>
    </cfRule>
    <cfRule type="expression" dxfId="7619" priority="201">
      <formula>AND(E$9&gt;=8/24,E$9&lt;14/24)</formula>
    </cfRule>
    <cfRule type="expression" dxfId="7618" priority="202">
      <formula>E$9&lt;8/24</formula>
    </cfRule>
  </conditionalFormatting>
  <conditionalFormatting sqref="S43:W43 Y43:AF43">
    <cfRule type="expression" dxfId="7617" priority="195">
      <formula>S$9&gt;=20/24</formula>
    </cfRule>
    <cfRule type="expression" dxfId="7616" priority="196">
      <formula>AND(S$9&gt;=14/24,S$9&lt;20/24)</formula>
    </cfRule>
    <cfRule type="expression" dxfId="7615" priority="197">
      <formula>AND(S$9&gt;=8/24,S$9&lt;14/24)</formula>
    </cfRule>
    <cfRule type="expression" dxfId="7614" priority="198">
      <formula>S$9&lt;8/24</formula>
    </cfRule>
  </conditionalFormatting>
  <conditionalFormatting sqref="S43:W45 AA36:AF36 Y43:AF45">
    <cfRule type="expression" dxfId="7613" priority="194">
      <formula>S36&gt;$AG36</formula>
    </cfRule>
  </conditionalFormatting>
  <conditionalFormatting sqref="C86:AF86 H64:H67 M37:R37 E62:H63 P62:AA63 I62:O67 P64:Q67 H71:Q71 U25:Z25 R64:AA71 C90:AF96 AB62:AF71 C73:AF76 C57:AF59 AA28:AF30 AA24:AF26 V18:AF22 V32:AF32 S16:AF16 S12:AF14">
    <cfRule type="expression" dxfId="7612" priority="190">
      <formula>C$9&gt;=20/24</formula>
    </cfRule>
    <cfRule type="expression" dxfId="7611" priority="191">
      <formula>AND(C$9&gt;=14/24,C$9&lt;20/24)</formula>
    </cfRule>
    <cfRule type="expression" dxfId="7610" priority="192">
      <formula>AND(C$9&gt;=8/24,C$9&lt;14/24)</formula>
    </cfRule>
    <cfRule type="expression" dxfId="7609" priority="193">
      <formula>C$9&lt;8/24</formula>
    </cfRule>
  </conditionalFormatting>
  <conditionalFormatting sqref="AA33:AF33">
    <cfRule type="expression" dxfId="7608" priority="186">
      <formula>AA$9&gt;=20/24</formula>
    </cfRule>
    <cfRule type="expression" dxfId="7607" priority="187">
      <formula>AND(AA$9&gt;=14/24,AA$9&lt;20/24)</formula>
    </cfRule>
    <cfRule type="expression" dxfId="7606" priority="188">
      <formula>AND(AA$9&gt;=8/24,AA$9&lt;14/24)</formula>
    </cfRule>
    <cfRule type="expression" dxfId="7605" priority="189">
      <formula>AA$9&lt;8/24</formula>
    </cfRule>
  </conditionalFormatting>
  <conditionalFormatting sqref="C55:AF55 C37:R37 V32:Z32 U25:Z25 C57:AF59 AA24:AF30 AA32:AF33 V18:AF22">
    <cfRule type="expression" dxfId="7604" priority="185">
      <formula>C18&gt;$AG18</formula>
    </cfRule>
  </conditionalFormatting>
  <conditionalFormatting sqref="AA35:AF35">
    <cfRule type="expression" dxfId="7603" priority="181">
      <formula>AA$9&gt;=20/24</formula>
    </cfRule>
    <cfRule type="expression" dxfId="7602" priority="182">
      <formula>AND(AA$9&gt;=14/24,AA$9&lt;20/24)</formula>
    </cfRule>
    <cfRule type="expression" dxfId="7601" priority="183">
      <formula>AND(AA$9&gt;=8/24,AA$9&lt;14/24)</formula>
    </cfRule>
    <cfRule type="expression" dxfId="7600" priority="184">
      <formula>AA$9&lt;8/24</formula>
    </cfRule>
  </conditionalFormatting>
  <conditionalFormatting sqref="S15:AF15">
    <cfRule type="expression" dxfId="7599" priority="177">
      <formula>S$9&gt;=20/24</formula>
    </cfRule>
    <cfRule type="expression" dxfId="7598" priority="178">
      <formula>AND(S$9&gt;=14/24,S$9&lt;20/24)</formula>
    </cfRule>
    <cfRule type="expression" dxfId="7597" priority="179">
      <formula>AND(S$9&gt;=8/24,S$9&lt;14/24)</formula>
    </cfRule>
    <cfRule type="expression" dxfId="7596" priority="180">
      <formula>S$9&lt;8/24</formula>
    </cfRule>
  </conditionalFormatting>
  <conditionalFormatting sqref="AA34:AF34">
    <cfRule type="expression" dxfId="7595" priority="173">
      <formula>AA$9&gt;=20/24</formula>
    </cfRule>
    <cfRule type="expression" dxfId="7594" priority="174">
      <formula>AND(AA$9&gt;=14/24,AA$9&lt;20/24)</formula>
    </cfRule>
    <cfRule type="expression" dxfId="7593" priority="175">
      <formula>AND(AA$9&gt;=8/24,AA$9&lt;14/24)</formula>
    </cfRule>
    <cfRule type="expression" dxfId="7592" priority="176">
      <formula>AA$9&lt;8/24</formula>
    </cfRule>
  </conditionalFormatting>
  <conditionalFormatting sqref="AA34:AF34">
    <cfRule type="expression" dxfId="7591" priority="172">
      <formula>AA34&gt;$AG34</formula>
    </cfRule>
  </conditionalFormatting>
  <conditionalFormatting sqref="S11:T11">
    <cfRule type="expression" dxfId="7590" priority="168">
      <formula>S$9&gt;=20/24</formula>
    </cfRule>
    <cfRule type="expression" dxfId="7589" priority="169">
      <formula>AND(S$9&gt;=14/24,S$9&lt;20/24)</formula>
    </cfRule>
    <cfRule type="expression" dxfId="7588" priority="170">
      <formula>AND(S$9&gt;=8/24,S$9&lt;14/24)</formula>
    </cfRule>
    <cfRule type="expression" dxfId="7587" priority="171">
      <formula>S$9&lt;8/24</formula>
    </cfRule>
  </conditionalFormatting>
  <conditionalFormatting sqref="V46:AF47">
    <cfRule type="expression" dxfId="7586" priority="164">
      <formula>V$9&gt;=20/24</formula>
    </cfRule>
    <cfRule type="expression" dxfId="7585" priority="165">
      <formula>AND(V$9&gt;=14/24,V$9&lt;20/24)</formula>
    </cfRule>
    <cfRule type="expression" dxfId="7584" priority="166">
      <formula>AND(V$9&gt;=8/24,V$9&lt;14/24)</formula>
    </cfRule>
    <cfRule type="expression" dxfId="7583" priority="167">
      <formula>V$9&lt;8/24</formula>
    </cfRule>
  </conditionalFormatting>
  <conditionalFormatting sqref="V46:AF47">
    <cfRule type="expression" dxfId="7582" priority="163">
      <formula>V46&gt;$AG46</formula>
    </cfRule>
  </conditionalFormatting>
  <conditionalFormatting sqref="R43:R54 S46:U54 V48:AF54">
    <cfRule type="expression" dxfId="7581" priority="159">
      <formula>R$9&gt;=20/24</formula>
    </cfRule>
    <cfRule type="expression" dxfId="7580" priority="160">
      <formula>AND(R$9&gt;=14/24,R$9&lt;20/24)</formula>
    </cfRule>
    <cfRule type="expression" dxfId="7579" priority="161">
      <formula>AND(R$9&gt;=8/24,R$9&lt;14/24)</formula>
    </cfRule>
    <cfRule type="expression" dxfId="7578" priority="162">
      <formula>R$9&lt;8/24</formula>
    </cfRule>
  </conditionalFormatting>
  <conditionalFormatting sqref="R43:R54 S46:U54 V48:AF54">
    <cfRule type="expression" dxfId="7577" priority="158">
      <formula>R43&gt;$AG43</formula>
    </cfRule>
  </conditionalFormatting>
  <conditionalFormatting sqref="AA27:AF27">
    <cfRule type="expression" dxfId="7576" priority="154">
      <formula>AA$9&gt;=20/24</formula>
    </cfRule>
    <cfRule type="expression" dxfId="7575" priority="155">
      <formula>AND(AA$9&gt;=14/24,AA$9&lt;20/24)</formula>
    </cfRule>
    <cfRule type="expression" dxfId="7574" priority="156">
      <formula>AND(AA$9&gt;=8/24,AA$9&lt;14/24)</formula>
    </cfRule>
    <cfRule type="expression" dxfId="7573" priority="157">
      <formula>AA$9&lt;8/24</formula>
    </cfRule>
  </conditionalFormatting>
  <conditionalFormatting sqref="G22:U22 AA23:AF23 U17:AF17">
    <cfRule type="expression" dxfId="7572" priority="150">
      <formula>G$9&gt;=20/24</formula>
    </cfRule>
    <cfRule type="expression" dxfId="7571" priority="151">
      <formula>AND(G$9&gt;=14/24,G$9&lt;20/24)</formula>
    </cfRule>
    <cfRule type="expression" dxfId="7570" priority="152">
      <formula>AND(G$9&gt;=8/24,G$9&lt;14/24)</formula>
    </cfRule>
    <cfRule type="expression" dxfId="7569" priority="153">
      <formula>G$9&lt;8/24</formula>
    </cfRule>
  </conditionalFormatting>
  <conditionalFormatting sqref="G22:U22 AA23:AF23 U17:AF17">
    <cfRule type="expression" dxfId="7568" priority="145">
      <formula>G17&gt;$AG17</formula>
    </cfRule>
  </conditionalFormatting>
  <conditionalFormatting sqref="H68:Q70">
    <cfRule type="expression" dxfId="7567" priority="119">
      <formula>H$9&gt;=20/24</formula>
    </cfRule>
    <cfRule type="expression" dxfId="7566" priority="120">
      <formula>AND(H$9&gt;=14/24,H$9&lt;20/24)</formula>
    </cfRule>
    <cfRule type="expression" dxfId="7565" priority="121">
      <formula>AND(H$9&gt;=8/24,H$9&lt;14/24)</formula>
    </cfRule>
    <cfRule type="expression" dxfId="7564" priority="122">
      <formula>H$9&lt;8/24</formula>
    </cfRule>
  </conditionalFormatting>
  <conditionalFormatting sqref="X44:X45">
    <cfRule type="expression" dxfId="7563" priority="109">
      <formula>X$9&gt;=20/24</formula>
    </cfRule>
    <cfRule type="expression" dxfId="7562" priority="110">
      <formula>AND(X$9&gt;=14/24,X$9&lt;20/24)</formula>
    </cfRule>
    <cfRule type="expression" dxfId="7561" priority="111">
      <formula>AND(X$9&gt;=8/24,X$9&lt;14/24)</formula>
    </cfRule>
    <cfRule type="expression" dxfId="7560" priority="112">
      <formula>X$9&lt;8/24</formula>
    </cfRule>
  </conditionalFormatting>
  <conditionalFormatting sqref="X43">
    <cfRule type="expression" dxfId="7559" priority="105">
      <formula>X$9&gt;=20/24</formula>
    </cfRule>
    <cfRule type="expression" dxfId="7558" priority="106">
      <formula>AND(X$9&gt;=14/24,X$9&lt;20/24)</formula>
    </cfRule>
    <cfRule type="expression" dxfId="7557" priority="107">
      <formula>AND(X$9&gt;=8/24,X$9&lt;14/24)</formula>
    </cfRule>
    <cfRule type="expression" dxfId="7556" priority="108">
      <formula>X$9&lt;8/24</formula>
    </cfRule>
  </conditionalFormatting>
  <conditionalFormatting sqref="X43:X45">
    <cfRule type="expression" dxfId="7555" priority="104">
      <formula>X43&gt;$AG43</formula>
    </cfRule>
  </conditionalFormatting>
  <conditionalFormatting sqref="B99:B105 B78:AF78 B87:AF87 B11:R11">
    <cfRule type="expression" dxfId="7554" priority="100">
      <formula>B$9&gt;=20/24</formula>
    </cfRule>
    <cfRule type="expression" dxfId="7553" priority="101">
      <formula>AND(B$9&gt;=14/24,B$9&lt;20/24)</formula>
    </cfRule>
    <cfRule type="expression" dxfId="7552" priority="102">
      <formula>AND(B$9&gt;=8/24,B$9&lt;14/24)</formula>
    </cfRule>
    <cfRule type="expression" dxfId="7551" priority="103">
      <formula>B$9&lt;8/24</formula>
    </cfRule>
  </conditionalFormatting>
  <conditionalFormatting sqref="B37">
    <cfRule type="expression" dxfId="7550" priority="96">
      <formula>B$9&gt;=20/24</formula>
    </cfRule>
    <cfRule type="expression" dxfId="7549" priority="97">
      <formula>AND(B$9&gt;=14/24,B$9&lt;20/24)</formula>
    </cfRule>
    <cfRule type="expression" dxfId="7548" priority="98">
      <formula>AND(B$9&gt;=8/24,B$9&lt;14/24)</formula>
    </cfRule>
    <cfRule type="expression" dxfId="7547" priority="99">
      <formula>B$9&lt;8/24</formula>
    </cfRule>
  </conditionalFormatting>
  <conditionalFormatting sqref="B37 B11:R11">
    <cfRule type="expression" dxfId="7546" priority="95">
      <formula>B11&gt;$AG11</formula>
    </cfRule>
  </conditionalFormatting>
  <conditionalFormatting sqref="B89">
    <cfRule type="expression" dxfId="7545" priority="91">
      <formula>B$9&gt;=20/24</formula>
    </cfRule>
    <cfRule type="expression" dxfId="7544" priority="92">
      <formula>AND(B$9&gt;=14/24,B$9&lt;20/24)</formula>
    </cfRule>
    <cfRule type="expression" dxfId="7543" priority="93">
      <formula>AND(B$9&gt;=8/24,B$9&lt;14/24)</formula>
    </cfRule>
    <cfRule type="expression" dxfId="7542" priority="94">
      <formula>B$9&lt;8/24</formula>
    </cfRule>
  </conditionalFormatting>
  <conditionalFormatting sqref="B61:D61 B44:Q45 B36:Z36">
    <cfRule type="expression" dxfId="7541" priority="87">
      <formula>B$9&gt;=20/24</formula>
    </cfRule>
    <cfRule type="expression" dxfId="7540" priority="88">
      <formula>AND(B$9&gt;=14/24,B$9&lt;20/24)</formula>
    </cfRule>
    <cfRule type="expression" dxfId="7539" priority="89">
      <formula>AND(B$9&gt;=8/24,B$9&lt;14/24)</formula>
    </cfRule>
    <cfRule type="expression" dxfId="7538" priority="90">
      <formula>B$9&lt;8/24</formula>
    </cfRule>
  </conditionalFormatting>
  <conditionalFormatting sqref="B43:Q43">
    <cfRule type="expression" dxfId="7537" priority="83">
      <formula>B$9&gt;=20/24</formula>
    </cfRule>
    <cfRule type="expression" dxfId="7536" priority="84">
      <formula>AND(B$9&gt;=14/24,B$9&lt;20/24)</formula>
    </cfRule>
    <cfRule type="expression" dxfId="7535" priority="85">
      <formula>AND(B$9&gt;=8/24,B$9&lt;14/24)</formula>
    </cfRule>
    <cfRule type="expression" dxfId="7534" priority="86">
      <formula>B$9&lt;8/24</formula>
    </cfRule>
  </conditionalFormatting>
  <conditionalFormatting sqref="B43:Q45 B36:Z36">
    <cfRule type="expression" dxfId="7533" priority="82">
      <formula>B36&gt;$AG36</formula>
    </cfRule>
  </conditionalFormatting>
  <conditionalFormatting sqref="B90:B96 B57:B60 B73:B77 B79:AF79 B86 C60:AG60 C77:AG77 B88:AF88 B62:D71 B18:F22 E64:G71 B12:R14 B16:R16 B25:T26 G18:U21 B32:U32 B28:Z30 U26:Z26 B24:Z24">
    <cfRule type="expression" dxfId="7532" priority="78">
      <formula>B$9&gt;=20/24</formula>
    </cfRule>
    <cfRule type="expression" dxfId="7531" priority="79">
      <formula>AND(B$9&gt;=14/24,B$9&lt;20/24)</formula>
    </cfRule>
    <cfRule type="expression" dxfId="7530" priority="80">
      <formula>AND(B$9&gt;=8/24,B$9&lt;14/24)</formula>
    </cfRule>
    <cfRule type="expression" dxfId="7529" priority="81">
      <formula>B$9&lt;8/24</formula>
    </cfRule>
  </conditionalFormatting>
  <conditionalFormatting sqref="B33:Z33">
    <cfRule type="expression" dxfId="7528" priority="74">
      <formula>B$9&gt;=20/24</formula>
    </cfRule>
    <cfRule type="expression" dxfId="7527" priority="75">
      <formula>AND(B$9&gt;=14/24,B$9&lt;20/24)</formula>
    </cfRule>
    <cfRule type="expression" dxfId="7526" priority="76">
      <formula>AND(B$9&gt;=8/24,B$9&lt;14/24)</formula>
    </cfRule>
    <cfRule type="expression" dxfId="7525" priority="77">
      <formula>B$9&lt;8/24</formula>
    </cfRule>
  </conditionalFormatting>
  <conditionalFormatting sqref="B55:B60 B38:AG38 C56:AG56 C60:AG60 B18:F22 B46:Q47 B25:T30 G18:U21 B32:U33 U26:Z30 B24:Z24 V33:Z33">
    <cfRule type="expression" dxfId="7524" priority="73">
      <formula>B18&gt;$AG18</formula>
    </cfRule>
  </conditionalFormatting>
  <conditionalFormatting sqref="B35:Z35">
    <cfRule type="expression" dxfId="7523" priority="69">
      <formula>B$9&gt;=20/24</formula>
    </cfRule>
    <cfRule type="expression" dxfId="7522" priority="70">
      <formula>AND(B$9&gt;=14/24,B$9&lt;20/24)</formula>
    </cfRule>
    <cfRule type="expression" dxfId="7521" priority="71">
      <formula>AND(B$9&gt;=8/24,B$9&lt;14/24)</formula>
    </cfRule>
    <cfRule type="expression" dxfId="7520" priority="72">
      <formula>B$9&lt;8/24</formula>
    </cfRule>
  </conditionalFormatting>
  <conditionalFormatting sqref="B15:R15">
    <cfRule type="expression" dxfId="7519" priority="65">
      <formula>B$9&gt;=20/24</formula>
    </cfRule>
    <cfRule type="expression" dxfId="7518" priority="66">
      <formula>AND(B$9&gt;=14/24,B$9&lt;20/24)</formula>
    </cfRule>
    <cfRule type="expression" dxfId="7517" priority="67">
      <formula>AND(B$9&gt;=8/24,B$9&lt;14/24)</formula>
    </cfRule>
    <cfRule type="expression" dxfId="7516" priority="68">
      <formula>B$9&lt;8/24</formula>
    </cfRule>
  </conditionalFormatting>
  <conditionalFormatting sqref="B34:Z34">
    <cfRule type="expression" dxfId="7515" priority="61">
      <formula>B$9&gt;=20/24</formula>
    </cfRule>
    <cfRule type="expression" dxfId="7514" priority="62">
      <formula>AND(B$9&gt;=14/24,B$9&lt;20/24)</formula>
    </cfRule>
    <cfRule type="expression" dxfId="7513" priority="63">
      <formula>AND(B$9&gt;=8/24,B$9&lt;14/24)</formula>
    </cfRule>
    <cfRule type="expression" dxfId="7512" priority="64">
      <formula>B$9&lt;8/24</formula>
    </cfRule>
  </conditionalFormatting>
  <conditionalFormatting sqref="B34:Z34">
    <cfRule type="expression" dxfId="7511" priority="60">
      <formula>B34&gt;$AG34</formula>
    </cfRule>
  </conditionalFormatting>
  <conditionalFormatting sqref="B48:Q54">
    <cfRule type="expression" dxfId="7510" priority="56">
      <formula>B$9&gt;=20/24</formula>
    </cfRule>
    <cfRule type="expression" dxfId="7509" priority="57">
      <formula>AND(B$9&gt;=14/24,B$9&lt;20/24)</formula>
    </cfRule>
    <cfRule type="expression" dxfId="7508" priority="58">
      <formula>AND(B$9&gt;=8/24,B$9&lt;14/24)</formula>
    </cfRule>
    <cfRule type="expression" dxfId="7507" priority="59">
      <formula>B$9&lt;8/24</formula>
    </cfRule>
  </conditionalFormatting>
  <conditionalFormatting sqref="B48:Q54">
    <cfRule type="expression" dxfId="7506" priority="55">
      <formula>B48&gt;$AG48</formula>
    </cfRule>
  </conditionalFormatting>
  <conditionalFormatting sqref="B27:Z27">
    <cfRule type="expression" dxfId="7505" priority="51">
      <formula>B$9&gt;=20/24</formula>
    </cfRule>
    <cfRule type="expression" dxfId="7504" priority="52">
      <formula>AND(B$9&gt;=14/24,B$9&lt;20/24)</formula>
    </cfRule>
    <cfRule type="expression" dxfId="7503" priority="53">
      <formula>AND(B$9&gt;=8/24,B$9&lt;14/24)</formula>
    </cfRule>
    <cfRule type="expression" dxfId="7502" priority="54">
      <formula>B$9&lt;8/24</formula>
    </cfRule>
  </conditionalFormatting>
  <conditionalFormatting sqref="B17:T17 B23:Z23">
    <cfRule type="expression" dxfId="7501" priority="47">
      <formula>B$9&gt;=20/24</formula>
    </cfRule>
    <cfRule type="expression" dxfId="7500" priority="48">
      <formula>AND(B$9&gt;=14/24,B$9&lt;20/24)</formula>
    </cfRule>
    <cfRule type="expression" dxfId="7499" priority="49">
      <formula>AND(B$9&gt;=8/24,B$9&lt;14/24)</formula>
    </cfRule>
    <cfRule type="expression" dxfId="7498" priority="50">
      <formula>B$9&lt;8/24</formula>
    </cfRule>
  </conditionalFormatting>
  <conditionalFormatting sqref="B17:T17 B23:Z23">
    <cfRule type="expression" dxfId="7497" priority="46">
      <formula>B17&gt;$AG17</formula>
    </cfRule>
  </conditionalFormatting>
  <conditionalFormatting sqref="A34">
    <cfRule type="expression" dxfId="7496" priority="45">
      <formula>$AH34=0</formula>
    </cfRule>
  </conditionalFormatting>
  <conditionalFormatting sqref="B72:AF72">
    <cfRule type="expression" dxfId="7495" priority="41">
      <formula>B$9&gt;=20/24</formula>
    </cfRule>
    <cfRule type="expression" dxfId="7494" priority="42">
      <formula>AND(B$9&gt;=14/24,B$9&lt;20/24)</formula>
    </cfRule>
    <cfRule type="expression" dxfId="7493" priority="43">
      <formula>AND(B$9&gt;=8/24,B$9&lt;14/24)</formula>
    </cfRule>
    <cfRule type="expression" dxfId="7492" priority="44">
      <formula>B$9&lt;8/24</formula>
    </cfRule>
  </conditionalFormatting>
  <conditionalFormatting sqref="B81:AF85">
    <cfRule type="expression" dxfId="7491" priority="37">
      <formula>B$9&gt;=20/24</formula>
    </cfRule>
    <cfRule type="expression" dxfId="7490" priority="38">
      <formula>AND(B$9&gt;=14/24,B$9&lt;20/24)</formula>
    </cfRule>
    <cfRule type="expression" dxfId="7489" priority="39">
      <formula>AND(B$9&gt;=8/24,B$9&lt;14/24)</formula>
    </cfRule>
    <cfRule type="expression" dxfId="7488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P39:AF41">
    <cfRule type="expression" dxfId="7487" priority="33">
      <formula>P$9&gt;=20/24</formula>
    </cfRule>
    <cfRule type="expression" dxfId="7486" priority="34">
      <formula>AND(P$9&gt;=14/24,P$9&lt;20/24)</formula>
    </cfRule>
    <cfRule type="expression" dxfId="7485" priority="35">
      <formula>AND(P$9&gt;=8/24,P$9&lt;14/24)</formula>
    </cfRule>
    <cfRule type="expression" dxfId="7484" priority="36">
      <formula>P$9&lt;8/24</formula>
    </cfRule>
  </conditionalFormatting>
  <conditionalFormatting sqref="P39:AF41">
    <cfRule type="expression" dxfId="7483" priority="32">
      <formula>P39&gt;$AG39</formula>
    </cfRule>
  </conditionalFormatting>
  <conditionalFormatting sqref="B39:B42 C42:AG42 C39:O41">
    <cfRule type="expression" dxfId="7482" priority="28">
      <formula>B$9&gt;=20/24</formula>
    </cfRule>
    <cfRule type="expression" dxfId="7481" priority="29">
      <formula>AND(B$9&gt;=14/24,B$9&lt;20/24)</formula>
    </cfRule>
    <cfRule type="expression" dxfId="7480" priority="30">
      <formula>AND(B$9&gt;=8/24,B$9&lt;14/24)</formula>
    </cfRule>
    <cfRule type="expression" dxfId="7479" priority="31">
      <formula>B$9&lt;8/24</formula>
    </cfRule>
  </conditionalFormatting>
  <conditionalFormatting sqref="B39:B42 C42:AG42 C39:O41">
    <cfRule type="expression" dxfId="7478" priority="27">
      <formula>B39&gt;$AG39</formula>
    </cfRule>
  </conditionalFormatting>
  <conditionalFormatting sqref="C97:AF97">
    <cfRule type="expression" dxfId="7477" priority="23">
      <formula>C$9&gt;=20/24</formula>
    </cfRule>
    <cfRule type="expression" dxfId="7476" priority="24">
      <formula>AND(C$9&gt;=14/24,C$9&lt;20/24)</formula>
    </cfRule>
    <cfRule type="expression" dxfId="7475" priority="25">
      <formula>AND(C$9&gt;=8/24,C$9&lt;14/24)</formula>
    </cfRule>
    <cfRule type="expression" dxfId="7474" priority="26">
      <formula>C$9&lt;8/24</formula>
    </cfRule>
  </conditionalFormatting>
  <conditionalFormatting sqref="B97">
    <cfRule type="expression" dxfId="7473" priority="19">
      <formula>B$9&gt;=20/24</formula>
    </cfRule>
    <cfRule type="expression" dxfId="7472" priority="20">
      <formula>AND(B$9&gt;=14/24,B$9&lt;20/24)</formula>
    </cfRule>
    <cfRule type="expression" dxfId="7471" priority="21">
      <formula>AND(B$9&gt;=8/24,B$9&lt;14/24)</formula>
    </cfRule>
    <cfRule type="expression" dxfId="7470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7469" priority="12">
      <formula>$AH31=0</formula>
    </cfRule>
  </conditionalFormatting>
  <conditionalFormatting sqref="A80">
    <cfRule type="expression" dxfId="7468" priority="10">
      <formula>$AH80=0</formula>
    </cfRule>
  </conditionalFormatting>
  <conditionalFormatting sqref="A77">
    <cfRule type="expression" dxfId="7467" priority="11">
      <formula>$AH77=0</formula>
    </cfRule>
  </conditionalFormatting>
  <conditionalFormatting sqref="A106">
    <cfRule type="expression" dxfId="7466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2F383C0E-50BA-487D-AC95-EE062964EE1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7DBBF306-4EE4-4326-B57C-A2BA37E68E9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C59D17DF-E5DB-4605-BAF9-817ADB69327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8D0EE6E1-7033-4B88-830E-B791A871F4A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3C81ABC9-F183-4C21-946B-1FCFACAA1B7C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B86203B0-6586-4982-AE6A-4FB3DE64422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5786F970-67A1-4100-A05B-FAEE97DEF3A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685A691E-D188-49A6-9FE6-49C037A73DF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D4D57EA2-ADF3-4569-BE08-CB6AFCC8635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85F013D4-35C0-43CC-B9E1-B1184035CDA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37A47B89-13C3-4A0B-BFC5-077CF6B81B4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B8232482-E3E6-435E-B1AB-88E0A4A6C06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8F19B2E4-34CA-4972-98B9-12B9365C9FE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CJ493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Q103" sqref="Q103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2079/02/5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10.8</v>
      </c>
      <c r="C5" s="205">
        <f t="shared" si="0"/>
        <v>10.3</v>
      </c>
      <c r="D5" s="205">
        <f t="shared" si="0"/>
        <v>16.899999999999999</v>
      </c>
      <c r="E5" s="205">
        <f t="shared" si="0"/>
        <v>16.899999999999999</v>
      </c>
      <c r="F5" s="205">
        <f t="shared" si="0"/>
        <v>7.2</v>
      </c>
      <c r="G5" s="205">
        <f t="shared" si="0"/>
        <v>7</v>
      </c>
      <c r="H5" s="205">
        <f t="shared" si="0"/>
        <v>10</v>
      </c>
      <c r="I5" s="205">
        <f t="shared" si="0"/>
        <v>13</v>
      </c>
      <c r="J5" s="205">
        <f t="shared" si="0"/>
        <v>57</v>
      </c>
      <c r="K5" s="205">
        <f t="shared" si="0"/>
        <v>56.6</v>
      </c>
      <c r="L5" s="205">
        <f t="shared" si="0"/>
        <v>52.2</v>
      </c>
      <c r="M5" s="205">
        <f t="shared" si="0"/>
        <v>51.9</v>
      </c>
      <c r="N5" s="205">
        <f t="shared" si="0"/>
        <v>26.8</v>
      </c>
      <c r="O5" s="205">
        <f t="shared" si="0"/>
        <v>63.7</v>
      </c>
      <c r="P5" s="205">
        <f t="shared" si="0"/>
        <v>60.8</v>
      </c>
      <c r="Q5" s="205">
        <f t="shared" si="0"/>
        <v>59.7</v>
      </c>
      <c r="R5" s="205">
        <f t="shared" si="0"/>
        <v>62.5</v>
      </c>
      <c r="S5" s="205">
        <f t="shared" si="0"/>
        <v>56</v>
      </c>
      <c r="T5" s="205">
        <f t="shared" si="0"/>
        <v>37</v>
      </c>
      <c r="U5" s="205">
        <f t="shared" si="0"/>
        <v>50</v>
      </c>
      <c r="V5" s="205">
        <f t="shared" si="0"/>
        <v>45</v>
      </c>
      <c r="W5" s="205">
        <f t="shared" si="0"/>
        <v>48</v>
      </c>
      <c r="X5" s="205">
        <f t="shared" si="0"/>
        <v>39</v>
      </c>
      <c r="Y5" s="205">
        <f t="shared" si="0"/>
        <v>47</v>
      </c>
      <c r="Z5" s="205">
        <f t="shared" si="0"/>
        <v>65</v>
      </c>
      <c r="AA5" s="205">
        <f t="shared" si="0"/>
        <v>69</v>
      </c>
      <c r="AB5" s="205">
        <f t="shared" si="0"/>
        <v>68.900000000000006</v>
      </c>
      <c r="AC5" s="205">
        <f t="shared" si="0"/>
        <v>71.8</v>
      </c>
      <c r="AD5" s="205">
        <f t="shared" si="0"/>
        <v>68.599999999999994</v>
      </c>
      <c r="AE5" s="205">
        <f t="shared" si="0"/>
        <v>69.8</v>
      </c>
      <c r="AF5" s="205">
        <f>B72</f>
        <v>45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1823MW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Load=1720</v>
      </c>
      <c r="B7" s="210">
        <f>B79</f>
        <v>1816.04</v>
      </c>
      <c r="C7" s="210">
        <f t="shared" ref="C7:AF7" si="1">C79</f>
        <v>1757.4399999999998</v>
      </c>
      <c r="D7" s="210">
        <f t="shared" si="1"/>
        <v>1756.74</v>
      </c>
      <c r="E7" s="210">
        <f t="shared" si="1"/>
        <v>1763.3400000000001</v>
      </c>
      <c r="F7" s="210">
        <f t="shared" si="1"/>
        <v>1743.3400000000001</v>
      </c>
      <c r="G7" s="210">
        <f t="shared" si="1"/>
        <v>1728.64</v>
      </c>
      <c r="H7" s="210">
        <f t="shared" si="1"/>
        <v>1720.44</v>
      </c>
      <c r="I7" s="210">
        <f t="shared" si="1"/>
        <v>1723.44</v>
      </c>
      <c r="J7" s="210">
        <f t="shared" si="1"/>
        <v>1726.44</v>
      </c>
      <c r="K7" s="210">
        <f t="shared" si="1"/>
        <v>1787.14</v>
      </c>
      <c r="L7" s="210">
        <f t="shared" si="1"/>
        <v>1805.04</v>
      </c>
      <c r="M7" s="210">
        <f t="shared" si="1"/>
        <v>1823.0400000000002</v>
      </c>
      <c r="N7" s="210">
        <f t="shared" si="1"/>
        <v>1759.8400000000001</v>
      </c>
      <c r="O7" s="210">
        <f t="shared" si="1"/>
        <v>1808.04</v>
      </c>
      <c r="P7" s="210">
        <f t="shared" si="1"/>
        <v>1849.94</v>
      </c>
      <c r="Q7" s="210">
        <f t="shared" si="1"/>
        <v>1813.74</v>
      </c>
      <c r="R7" s="210">
        <f t="shared" si="1"/>
        <v>1813.54</v>
      </c>
      <c r="S7" s="210">
        <f t="shared" si="1"/>
        <v>1788.1399999999999</v>
      </c>
      <c r="T7" s="210">
        <f t="shared" si="1"/>
        <v>1781.6399999999999</v>
      </c>
      <c r="U7" s="210">
        <f t="shared" si="1"/>
        <v>1752.6399999999999</v>
      </c>
      <c r="V7" s="210">
        <f t="shared" si="1"/>
        <v>1795.6399999999999</v>
      </c>
      <c r="W7" s="210">
        <f t="shared" si="1"/>
        <v>1760.6399999999999</v>
      </c>
      <c r="X7" s="210">
        <f t="shared" si="1"/>
        <v>1751.1399999999999</v>
      </c>
      <c r="Y7" s="210">
        <f t="shared" si="1"/>
        <v>1815.54</v>
      </c>
      <c r="Z7" s="210">
        <f t="shared" si="1"/>
        <v>1823.54</v>
      </c>
      <c r="AA7" s="210">
        <f t="shared" si="1"/>
        <v>1929.14</v>
      </c>
      <c r="AB7" s="210">
        <f t="shared" si="1"/>
        <v>1889.04</v>
      </c>
      <c r="AC7" s="210">
        <f t="shared" si="1"/>
        <v>1898.6399999999999</v>
      </c>
      <c r="AD7" s="210">
        <f t="shared" si="1"/>
        <v>1905.14</v>
      </c>
      <c r="AE7" s="210">
        <f t="shared" si="1"/>
        <v>1876.44</v>
      </c>
      <c r="AF7" s="210">
        <f t="shared" si="1"/>
        <v>1820.4399999999998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53.7</v>
      </c>
      <c r="C11" s="221">
        <v>53.7</v>
      </c>
      <c r="D11" s="221">
        <v>53.7</v>
      </c>
      <c r="E11" s="221">
        <v>53.7</v>
      </c>
      <c r="F11" s="221">
        <v>53.7</v>
      </c>
      <c r="G11" s="221">
        <v>53.7</v>
      </c>
      <c r="H11" s="221">
        <v>53.7</v>
      </c>
      <c r="I11" s="221">
        <v>53.7</v>
      </c>
      <c r="J11" s="221">
        <v>53.7</v>
      </c>
      <c r="K11" s="221">
        <v>53.7</v>
      </c>
      <c r="L11" s="221">
        <v>53.7</v>
      </c>
      <c r="M11" s="221">
        <v>53.7</v>
      </c>
      <c r="N11" s="221">
        <v>53.7</v>
      </c>
      <c r="O11" s="221">
        <v>53.7</v>
      </c>
      <c r="P11" s="221">
        <v>53.7</v>
      </c>
      <c r="Q11" s="221">
        <v>53.7</v>
      </c>
      <c r="R11" s="221">
        <v>53.7</v>
      </c>
      <c r="S11" s="221">
        <v>53.7</v>
      </c>
      <c r="T11" s="221">
        <v>53.7</v>
      </c>
      <c r="U11" s="221">
        <v>53.7</v>
      </c>
      <c r="V11" s="221">
        <v>53.7</v>
      </c>
      <c r="W11" s="221">
        <v>53.7</v>
      </c>
      <c r="X11" s="221">
        <v>53.7</v>
      </c>
      <c r="Y11" s="221">
        <v>53.7</v>
      </c>
      <c r="Z11" s="221">
        <v>53.7</v>
      </c>
      <c r="AA11" s="224">
        <v>53.6</v>
      </c>
      <c r="AB11" s="224">
        <v>53.6</v>
      </c>
      <c r="AC11" s="224">
        <v>53.6</v>
      </c>
      <c r="AD11" s="224">
        <v>53.6</v>
      </c>
      <c r="AE11" s="224">
        <v>53.6</v>
      </c>
      <c r="AF11" s="224">
        <v>53.6</v>
      </c>
      <c r="AG11" s="225">
        <v>52.4</v>
      </c>
      <c r="AH11" s="226">
        <f>MAX(B11:AF11)</f>
        <v>53.7</v>
      </c>
      <c r="AI11" s="227">
        <f>MIN(B11:AF11)</f>
        <v>53.6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50.5</v>
      </c>
      <c r="C12" s="221">
        <v>50.5</v>
      </c>
      <c r="D12" s="221">
        <v>50.5</v>
      </c>
      <c r="E12" s="221">
        <v>50.5</v>
      </c>
      <c r="F12" s="221">
        <v>50.5</v>
      </c>
      <c r="G12" s="221">
        <v>50.5</v>
      </c>
      <c r="H12" s="221">
        <v>50.5</v>
      </c>
      <c r="I12" s="221">
        <v>50.5</v>
      </c>
      <c r="J12" s="221">
        <v>50.5</v>
      </c>
      <c r="K12" s="221">
        <v>50.5</v>
      </c>
      <c r="L12" s="221">
        <v>50.5</v>
      </c>
      <c r="M12" s="221">
        <v>50.5</v>
      </c>
      <c r="N12" s="221">
        <v>50.5</v>
      </c>
      <c r="O12" s="221">
        <v>50.5</v>
      </c>
      <c r="P12" s="221">
        <v>50.5</v>
      </c>
      <c r="Q12" s="221">
        <v>50.5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50.4</v>
      </c>
      <c r="AB12" s="221">
        <v>50.7</v>
      </c>
      <c r="AC12" s="221">
        <v>50.7</v>
      </c>
      <c r="AD12" s="221">
        <v>50.3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50.3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45.9</v>
      </c>
      <c r="Y13" s="221">
        <v>45.9</v>
      </c>
      <c r="Z13" s="221">
        <v>45.9</v>
      </c>
      <c r="AA13" s="221">
        <v>45.8</v>
      </c>
      <c r="AB13" s="221">
        <v>45.9</v>
      </c>
      <c r="AC13" s="221">
        <v>45.9</v>
      </c>
      <c r="AD13" s="221">
        <v>45.9</v>
      </c>
      <c r="AE13" s="221">
        <v>45.9</v>
      </c>
      <c r="AF13" s="221">
        <v>45.9</v>
      </c>
      <c r="AG13" s="229">
        <v>45</v>
      </c>
      <c r="AH13" s="226">
        <f t="shared" si="2"/>
        <v>46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26</v>
      </c>
      <c r="C14" s="221">
        <v>26</v>
      </c>
      <c r="D14" s="221">
        <v>26</v>
      </c>
      <c r="E14" s="221">
        <v>26</v>
      </c>
      <c r="F14" s="221">
        <v>26</v>
      </c>
      <c r="G14" s="221">
        <v>26</v>
      </c>
      <c r="H14" s="221">
        <v>26</v>
      </c>
      <c r="I14" s="221">
        <v>26</v>
      </c>
      <c r="J14" s="221">
        <v>26</v>
      </c>
      <c r="K14" s="221">
        <v>26</v>
      </c>
      <c r="L14" s="221">
        <v>26</v>
      </c>
      <c r="M14" s="221">
        <v>26</v>
      </c>
      <c r="N14" s="221">
        <v>26</v>
      </c>
      <c r="O14" s="221">
        <v>26</v>
      </c>
      <c r="P14" s="221">
        <v>26</v>
      </c>
      <c r="Q14" s="221">
        <v>26</v>
      </c>
      <c r="R14" s="221">
        <v>26</v>
      </c>
      <c r="S14" s="221">
        <v>26</v>
      </c>
      <c r="T14" s="221">
        <v>26</v>
      </c>
      <c r="U14" s="221">
        <v>26</v>
      </c>
      <c r="V14" s="221">
        <v>26</v>
      </c>
      <c r="W14" s="221">
        <v>26</v>
      </c>
      <c r="X14" s="221">
        <v>26</v>
      </c>
      <c r="Y14" s="221">
        <v>26</v>
      </c>
      <c r="Z14" s="221">
        <v>26</v>
      </c>
      <c r="AA14" s="221">
        <v>35</v>
      </c>
      <c r="AB14" s="221">
        <v>31</v>
      </c>
      <c r="AC14" s="221">
        <v>31</v>
      </c>
      <c r="AD14" s="221">
        <v>31</v>
      </c>
      <c r="AE14" s="221">
        <v>31</v>
      </c>
      <c r="AF14" s="221">
        <v>31</v>
      </c>
      <c r="AG14" s="229">
        <v>42</v>
      </c>
      <c r="AH14" s="226">
        <f t="shared" si="2"/>
        <v>35</v>
      </c>
      <c r="AI14" s="227">
        <f t="shared" si="3"/>
        <v>26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29</v>
      </c>
      <c r="C15" s="221">
        <v>20</v>
      </c>
      <c r="D15" s="221">
        <v>20</v>
      </c>
      <c r="E15" s="221">
        <v>20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6.7</v>
      </c>
      <c r="L15" s="221">
        <v>15</v>
      </c>
      <c r="M15" s="221">
        <v>15</v>
      </c>
      <c r="N15" s="221">
        <v>10</v>
      </c>
      <c r="O15" s="221">
        <v>10</v>
      </c>
      <c r="P15" s="221">
        <v>15</v>
      </c>
      <c r="Q15" s="221">
        <v>0</v>
      </c>
      <c r="R15" s="221">
        <v>0</v>
      </c>
      <c r="S15" s="221">
        <v>0</v>
      </c>
      <c r="T15" s="221">
        <v>0</v>
      </c>
      <c r="U15" s="221">
        <v>5</v>
      </c>
      <c r="V15" s="221">
        <v>5</v>
      </c>
      <c r="W15" s="221">
        <v>5</v>
      </c>
      <c r="X15" s="221">
        <v>5</v>
      </c>
      <c r="Y15" s="221">
        <v>15</v>
      </c>
      <c r="Z15" s="221">
        <v>15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26.3</v>
      </c>
      <c r="C16" s="221">
        <v>26.3</v>
      </c>
      <c r="D16" s="221">
        <v>26.3</v>
      </c>
      <c r="E16" s="221">
        <v>26.3</v>
      </c>
      <c r="F16" s="221">
        <v>26.3</v>
      </c>
      <c r="G16" s="221">
        <v>26.3</v>
      </c>
      <c r="H16" s="221">
        <v>26.3</v>
      </c>
      <c r="I16" s="221">
        <v>26.3</v>
      </c>
      <c r="J16" s="221">
        <v>26.3</v>
      </c>
      <c r="K16" s="221">
        <v>26.3</v>
      </c>
      <c r="L16" s="221">
        <v>26.3</v>
      </c>
      <c r="M16" s="221">
        <v>26.3</v>
      </c>
      <c r="N16" s="221">
        <v>26.3</v>
      </c>
      <c r="O16" s="221">
        <v>26.3</v>
      </c>
      <c r="P16" s="221">
        <v>26.3</v>
      </c>
      <c r="Q16" s="221">
        <v>25.2</v>
      </c>
      <c r="R16" s="221">
        <v>25.2</v>
      </c>
      <c r="S16" s="221">
        <v>25.2</v>
      </c>
      <c r="T16" s="221">
        <v>25.2</v>
      </c>
      <c r="U16" s="221">
        <v>25.2</v>
      </c>
      <c r="V16" s="221">
        <v>25.2</v>
      </c>
      <c r="W16" s="221">
        <v>25.2</v>
      </c>
      <c r="X16" s="221">
        <v>25.2</v>
      </c>
      <c r="Y16" s="221">
        <v>25.2</v>
      </c>
      <c r="Z16" s="221">
        <v>25.2</v>
      </c>
      <c r="AA16" s="221">
        <v>26.3</v>
      </c>
      <c r="AB16" s="221">
        <v>26.4</v>
      </c>
      <c r="AC16" s="221">
        <v>26.4</v>
      </c>
      <c r="AD16" s="221">
        <v>26.4</v>
      </c>
      <c r="AE16" s="221">
        <v>26.4</v>
      </c>
      <c r="AF16" s="221">
        <v>26.4</v>
      </c>
      <c r="AG16" s="229">
        <v>25</v>
      </c>
      <c r="AH16" s="226">
        <f t="shared" si="2"/>
        <v>26.4</v>
      </c>
      <c r="AI16" s="227">
        <f t="shared" si="3"/>
        <v>25.2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12.5</v>
      </c>
      <c r="AB17" s="221">
        <v>13</v>
      </c>
      <c r="AC17" s="221">
        <v>13</v>
      </c>
      <c r="AD17" s="221">
        <v>13</v>
      </c>
      <c r="AE17" s="221">
        <v>13</v>
      </c>
      <c r="AF17" s="221">
        <v>13</v>
      </c>
      <c r="AG17" s="229">
        <v>25</v>
      </c>
      <c r="AH17" s="226">
        <f t="shared" si="2"/>
        <v>25</v>
      </c>
      <c r="AI17" s="227">
        <f t="shared" si="3"/>
        <v>12.5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12.5</v>
      </c>
      <c r="Y18" s="221">
        <v>12.5</v>
      </c>
      <c r="Z18" s="221">
        <v>12.5</v>
      </c>
      <c r="AA18" s="221">
        <v>25</v>
      </c>
      <c r="AB18" s="221">
        <v>25</v>
      </c>
      <c r="AC18" s="221">
        <v>25</v>
      </c>
      <c r="AD18" s="221">
        <v>25</v>
      </c>
      <c r="AE18" s="221">
        <v>12</v>
      </c>
      <c r="AF18" s="221">
        <v>0</v>
      </c>
      <c r="AG18" s="229">
        <v>25</v>
      </c>
      <c r="AH18" s="226">
        <f t="shared" si="2"/>
        <v>25</v>
      </c>
      <c r="AI18" s="227">
        <f t="shared" si="3"/>
        <v>0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</v>
      </c>
      <c r="C19" s="221">
        <v>33</v>
      </c>
      <c r="D19" s="221">
        <v>33</v>
      </c>
      <c r="E19" s="221">
        <v>33</v>
      </c>
      <c r="F19" s="221">
        <v>33</v>
      </c>
      <c r="G19" s="221">
        <v>33</v>
      </c>
      <c r="H19" s="221">
        <v>25</v>
      </c>
      <c r="I19" s="221">
        <v>25</v>
      </c>
      <c r="J19" s="221">
        <v>25</v>
      </c>
      <c r="K19" s="221">
        <v>25</v>
      </c>
      <c r="L19" s="221">
        <v>25</v>
      </c>
      <c r="M19" s="221">
        <v>25</v>
      </c>
      <c r="N19" s="221">
        <v>25</v>
      </c>
      <c r="O19" s="221">
        <v>25</v>
      </c>
      <c r="P19" s="221">
        <v>25</v>
      </c>
      <c r="Q19" s="221">
        <v>25</v>
      </c>
      <c r="R19" s="221">
        <v>25</v>
      </c>
      <c r="S19" s="221">
        <v>25</v>
      </c>
      <c r="T19" s="221">
        <v>25</v>
      </c>
      <c r="U19" s="221">
        <v>25</v>
      </c>
      <c r="V19" s="221">
        <v>25</v>
      </c>
      <c r="W19" s="221">
        <v>25</v>
      </c>
      <c r="X19" s="221">
        <v>25</v>
      </c>
      <c r="Y19" s="221">
        <v>25</v>
      </c>
      <c r="Z19" s="221">
        <v>25</v>
      </c>
      <c r="AA19" s="221">
        <v>19.8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33.200000000000003</v>
      </c>
      <c r="AI19" s="227">
        <f t="shared" si="3"/>
        <v>19.8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23.1</v>
      </c>
      <c r="C20" s="221">
        <v>23.1</v>
      </c>
      <c r="D20" s="221">
        <v>23.1</v>
      </c>
      <c r="E20" s="221">
        <v>23.1</v>
      </c>
      <c r="F20" s="221">
        <v>23.1</v>
      </c>
      <c r="G20" s="221">
        <v>23.1</v>
      </c>
      <c r="H20" s="221">
        <v>23.1</v>
      </c>
      <c r="I20" s="221">
        <v>23.1</v>
      </c>
      <c r="J20" s="221">
        <v>23.1</v>
      </c>
      <c r="K20" s="221">
        <v>23.1</v>
      </c>
      <c r="L20" s="221">
        <v>23.1</v>
      </c>
      <c r="M20" s="221">
        <v>23.1</v>
      </c>
      <c r="N20" s="221">
        <v>23.1</v>
      </c>
      <c r="O20" s="221">
        <v>23.1</v>
      </c>
      <c r="P20" s="221">
        <v>23.1</v>
      </c>
      <c r="Q20" s="221">
        <v>23.1</v>
      </c>
      <c r="R20" s="221">
        <v>23.1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23.1</v>
      </c>
      <c r="AB20" s="221">
        <v>23.1</v>
      </c>
      <c r="AC20" s="221">
        <v>23.1</v>
      </c>
      <c r="AD20" s="221">
        <v>23.1</v>
      </c>
      <c r="AE20" s="221">
        <v>23.1</v>
      </c>
      <c r="AF20" s="221">
        <v>23.1</v>
      </c>
      <c r="AG20" s="229">
        <v>23.5</v>
      </c>
      <c r="AH20" s="226">
        <f t="shared" si="2"/>
        <v>23.5</v>
      </c>
      <c r="AI20" s="227">
        <f t="shared" si="3"/>
        <v>23.1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18</v>
      </c>
      <c r="R24" s="221">
        <v>18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18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5</v>
      </c>
      <c r="D25" s="221">
        <v>5</v>
      </c>
      <c r="E25" s="221">
        <v>5</v>
      </c>
      <c r="F25" s="221">
        <v>5</v>
      </c>
      <c r="G25" s="221">
        <v>0</v>
      </c>
      <c r="H25" s="221">
        <v>0</v>
      </c>
      <c r="I25" s="221">
        <v>0</v>
      </c>
      <c r="J25" s="221">
        <v>0</v>
      </c>
      <c r="K25" s="221">
        <v>10</v>
      </c>
      <c r="L25" s="221">
        <v>20</v>
      </c>
      <c r="M25" s="221">
        <v>10</v>
      </c>
      <c r="N25" s="221">
        <v>5</v>
      </c>
      <c r="O25" s="221">
        <v>5</v>
      </c>
      <c r="P25" s="221">
        <v>5</v>
      </c>
      <c r="Q25" s="221">
        <v>0</v>
      </c>
      <c r="R25" s="221">
        <v>0</v>
      </c>
      <c r="S25" s="221">
        <v>0</v>
      </c>
      <c r="T25" s="221">
        <v>0</v>
      </c>
      <c r="U25" s="221">
        <v>5</v>
      </c>
      <c r="V25" s="221">
        <v>5</v>
      </c>
      <c r="W25" s="221">
        <v>5</v>
      </c>
      <c r="X25" s="221">
        <v>5</v>
      </c>
      <c r="Y25" s="221">
        <v>10</v>
      </c>
      <c r="Z25" s="221">
        <v>10</v>
      </c>
      <c r="AA25" s="221">
        <v>20</v>
      </c>
      <c r="AB25" s="221">
        <v>18</v>
      </c>
      <c r="AC25" s="221">
        <v>18</v>
      </c>
      <c r="AD25" s="221">
        <v>18</v>
      </c>
      <c r="AE25" s="221">
        <v>15</v>
      </c>
      <c r="AF25" s="221">
        <v>20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0</v>
      </c>
      <c r="C28" s="221">
        <v>0</v>
      </c>
      <c r="D28" s="221">
        <v>0</v>
      </c>
      <c r="E28" s="221">
        <v>0</v>
      </c>
      <c r="F28" s="221">
        <v>0</v>
      </c>
      <c r="G28" s="221">
        <v>0</v>
      </c>
      <c r="H28" s="221">
        <v>0</v>
      </c>
      <c r="I28" s="221">
        <v>0</v>
      </c>
      <c r="J28" s="221">
        <v>0</v>
      </c>
      <c r="K28" s="221">
        <v>0</v>
      </c>
      <c r="L28" s="221">
        <v>0</v>
      </c>
      <c r="M28" s="221">
        <v>12.7</v>
      </c>
      <c r="N28" s="221">
        <v>12.7</v>
      </c>
      <c r="O28" s="221">
        <v>12.7</v>
      </c>
      <c r="P28" s="221">
        <v>12.7</v>
      </c>
      <c r="Q28" s="221">
        <v>12.7</v>
      </c>
      <c r="R28" s="221">
        <v>12.7</v>
      </c>
      <c r="S28" s="221">
        <v>12.7</v>
      </c>
      <c r="T28" s="221">
        <v>12.7</v>
      </c>
      <c r="U28" s="221">
        <v>12.7</v>
      </c>
      <c r="V28" s="221">
        <v>12.7</v>
      </c>
      <c r="W28" s="221">
        <v>12.7</v>
      </c>
      <c r="X28" s="221">
        <v>12.7</v>
      </c>
      <c r="Y28" s="221">
        <v>12.7</v>
      </c>
      <c r="Z28" s="221">
        <v>12.7</v>
      </c>
      <c r="AA28" s="221">
        <v>0</v>
      </c>
      <c r="AB28" s="221">
        <v>0</v>
      </c>
      <c r="AC28" s="221">
        <v>0</v>
      </c>
      <c r="AD28" s="221">
        <v>0</v>
      </c>
      <c r="AE28" s="221">
        <v>0</v>
      </c>
      <c r="AF28" s="221">
        <v>0</v>
      </c>
      <c r="AG28" s="229">
        <v>13</v>
      </c>
      <c r="AH28" s="226">
        <f t="shared" si="2"/>
        <v>12.7</v>
      </c>
      <c r="AI28" s="227">
        <f t="shared" si="3"/>
        <v>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8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8</v>
      </c>
      <c r="K29" s="221">
        <v>8</v>
      </c>
      <c r="L29" s="221">
        <v>8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8</v>
      </c>
      <c r="AG29" s="229">
        <v>12</v>
      </c>
      <c r="AH29" s="226">
        <f t="shared" si="2"/>
        <v>12</v>
      </c>
      <c r="AI29" s="227">
        <f t="shared" si="3"/>
        <v>8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11.5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10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2</v>
      </c>
      <c r="Z35" s="221">
        <v>2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0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v>824.6</v>
      </c>
      <c r="C38" s="241">
        <f t="shared" ref="C38:AG38" si="4">SUM(C11:C36)</f>
        <v>800</v>
      </c>
      <c r="D38" s="241">
        <f t="shared" si="4"/>
        <v>800</v>
      </c>
      <c r="E38" s="241">
        <f t="shared" si="4"/>
        <v>800</v>
      </c>
      <c r="F38" s="241">
        <f t="shared" si="4"/>
        <v>780</v>
      </c>
      <c r="G38" s="241">
        <f t="shared" si="4"/>
        <v>775</v>
      </c>
      <c r="H38" s="241">
        <f t="shared" si="4"/>
        <v>767</v>
      </c>
      <c r="I38" s="241">
        <f t="shared" si="4"/>
        <v>767</v>
      </c>
      <c r="J38" s="241">
        <f t="shared" si="4"/>
        <v>767</v>
      </c>
      <c r="K38" s="241">
        <f t="shared" si="4"/>
        <v>783.7</v>
      </c>
      <c r="L38" s="241">
        <f t="shared" si="4"/>
        <v>802</v>
      </c>
      <c r="M38" s="241">
        <f t="shared" si="4"/>
        <v>810.7</v>
      </c>
      <c r="N38" s="241">
        <f t="shared" si="4"/>
        <v>800.7</v>
      </c>
      <c r="O38" s="241">
        <f t="shared" si="4"/>
        <v>800.7</v>
      </c>
      <c r="P38" s="241">
        <f t="shared" si="4"/>
        <v>805.7</v>
      </c>
      <c r="Q38" s="241">
        <f t="shared" si="4"/>
        <v>780.5</v>
      </c>
      <c r="R38" s="241">
        <f t="shared" si="4"/>
        <v>780.5</v>
      </c>
      <c r="S38" s="241">
        <f t="shared" si="4"/>
        <v>784.89999999999986</v>
      </c>
      <c r="T38" s="241">
        <f t="shared" si="4"/>
        <v>784.89999999999986</v>
      </c>
      <c r="U38" s="241">
        <f t="shared" si="4"/>
        <v>794.89999999999986</v>
      </c>
      <c r="V38" s="241">
        <f t="shared" si="4"/>
        <v>794.89999999999986</v>
      </c>
      <c r="W38" s="241">
        <f t="shared" si="4"/>
        <v>794.89999999999986</v>
      </c>
      <c r="X38" s="241">
        <f t="shared" si="4"/>
        <v>782.39999999999986</v>
      </c>
      <c r="Y38" s="241">
        <f t="shared" si="4"/>
        <v>797.39999999999986</v>
      </c>
      <c r="Z38" s="241">
        <f t="shared" si="4"/>
        <v>797.39999999999986</v>
      </c>
      <c r="AA38" s="241">
        <v>807.90000000000009</v>
      </c>
      <c r="AB38" s="241">
        <f t="shared" si="4"/>
        <v>816.3</v>
      </c>
      <c r="AC38" s="241">
        <f t="shared" si="4"/>
        <v>816.3</v>
      </c>
      <c r="AD38" s="241">
        <f t="shared" si="4"/>
        <v>815.90000000000009</v>
      </c>
      <c r="AE38" s="241">
        <f t="shared" si="4"/>
        <v>800</v>
      </c>
      <c r="AF38" s="241">
        <f t="shared" si="4"/>
        <v>793</v>
      </c>
      <c r="AG38" s="242">
        <f t="shared" si="4"/>
        <v>665.78</v>
      </c>
      <c r="AH38" s="226">
        <f t="shared" si="2"/>
        <v>824.6</v>
      </c>
      <c r="AI38" s="227">
        <f t="shared" si="3"/>
        <v>767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400</v>
      </c>
      <c r="O39" s="221">
        <v>456</v>
      </c>
      <c r="P39" s="221">
        <v>456</v>
      </c>
      <c r="Q39" s="221">
        <v>456</v>
      </c>
      <c r="R39" s="221">
        <v>456</v>
      </c>
      <c r="S39" s="221">
        <v>420</v>
      </c>
      <c r="T39" s="221">
        <v>420</v>
      </c>
      <c r="U39" s="221">
        <v>400</v>
      </c>
      <c r="V39" s="221">
        <v>430</v>
      </c>
      <c r="W39" s="221">
        <v>400</v>
      </c>
      <c r="X39" s="221">
        <v>400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400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482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502</v>
      </c>
      <c r="T42" s="241">
        <f t="shared" si="5"/>
        <v>502</v>
      </c>
      <c r="U42" s="241">
        <f t="shared" si="5"/>
        <v>482</v>
      </c>
      <c r="V42" s="241">
        <f t="shared" si="5"/>
        <v>512</v>
      </c>
      <c r="W42" s="241">
        <f t="shared" si="5"/>
        <v>482</v>
      </c>
      <c r="X42" s="241">
        <f t="shared" si="5"/>
        <v>482</v>
      </c>
      <c r="Y42" s="241">
        <f t="shared" si="5"/>
        <v>538</v>
      </c>
      <c r="Z42" s="241">
        <f t="shared" si="5"/>
        <v>538</v>
      </c>
      <c r="AA42" s="241"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482</v>
      </c>
      <c r="AK42" s="228"/>
    </row>
    <row r="43" spans="1:88" x14ac:dyDescent="0.25">
      <c r="A43" s="220" t="s">
        <v>51</v>
      </c>
      <c r="B43" s="221">
        <v>143.19999999999999</v>
      </c>
      <c r="C43" s="221">
        <v>143.19999999999999</v>
      </c>
      <c r="D43" s="221">
        <v>143.19999999999999</v>
      </c>
      <c r="E43" s="221">
        <v>143.19999999999999</v>
      </c>
      <c r="F43" s="221">
        <v>143.19999999999999</v>
      </c>
      <c r="G43" s="221">
        <v>143.19999999999999</v>
      </c>
      <c r="H43" s="221">
        <v>143.19999999999999</v>
      </c>
      <c r="I43" s="221">
        <v>143.19999999999999</v>
      </c>
      <c r="J43" s="221">
        <v>143.19999999999999</v>
      </c>
      <c r="K43" s="221">
        <v>143.19999999999999</v>
      </c>
      <c r="L43" s="221">
        <v>143.19999999999999</v>
      </c>
      <c r="M43" s="221">
        <v>143.19999999999999</v>
      </c>
      <c r="N43" s="221">
        <v>143.19999999999999</v>
      </c>
      <c r="O43" s="221">
        <v>143.19999999999999</v>
      </c>
      <c r="P43" s="221">
        <v>143.19999999999999</v>
      </c>
      <c r="Q43" s="221">
        <v>143</v>
      </c>
      <c r="R43" s="221">
        <v>143</v>
      </c>
      <c r="S43" s="221">
        <v>143</v>
      </c>
      <c r="T43" s="221">
        <v>143</v>
      </c>
      <c r="U43" s="221">
        <v>143</v>
      </c>
      <c r="V43" s="221">
        <v>143</v>
      </c>
      <c r="W43" s="221">
        <v>143</v>
      </c>
      <c r="X43" s="221">
        <v>143</v>
      </c>
      <c r="Y43" s="221">
        <v>144</v>
      </c>
      <c r="Z43" s="221">
        <v>144</v>
      </c>
      <c r="AA43" s="221">
        <v>143.30000000000001</v>
      </c>
      <c r="AB43" s="221">
        <v>143.69999999999999</v>
      </c>
      <c r="AC43" s="221">
        <v>143.69999999999999</v>
      </c>
      <c r="AD43" s="221">
        <v>143.69999999999999</v>
      </c>
      <c r="AE43" s="221">
        <v>143.80000000000001</v>
      </c>
      <c r="AF43" s="221">
        <v>143.69999999999999</v>
      </c>
      <c r="AG43" s="230">
        <v>144</v>
      </c>
      <c r="AH43" s="226">
        <f t="shared" si="2"/>
        <v>144</v>
      </c>
      <c r="AI43" s="227">
        <f t="shared" si="3"/>
        <v>143</v>
      </c>
      <c r="AK43" s="228"/>
    </row>
    <row r="44" spans="1:88" x14ac:dyDescent="0.25">
      <c r="A44" s="234" t="s">
        <v>52</v>
      </c>
      <c r="B44" s="245">
        <v>71</v>
      </c>
      <c r="C44" s="245">
        <v>71</v>
      </c>
      <c r="D44" s="245">
        <v>71</v>
      </c>
      <c r="E44" s="245">
        <v>71</v>
      </c>
      <c r="F44" s="245">
        <v>71</v>
      </c>
      <c r="G44" s="245">
        <v>71</v>
      </c>
      <c r="H44" s="245">
        <v>71</v>
      </c>
      <c r="I44" s="245">
        <v>71</v>
      </c>
      <c r="J44" s="245">
        <v>71</v>
      </c>
      <c r="K44" s="245">
        <v>71</v>
      </c>
      <c r="L44" s="245">
        <v>71</v>
      </c>
      <c r="M44" s="245">
        <v>71</v>
      </c>
      <c r="N44" s="245">
        <v>71</v>
      </c>
      <c r="O44" s="245">
        <v>72.400000000000006</v>
      </c>
      <c r="P44" s="245">
        <v>72.400000000000006</v>
      </c>
      <c r="Q44" s="221">
        <v>70.900000000000006</v>
      </c>
      <c r="R44" s="221">
        <v>71.3</v>
      </c>
      <c r="S44" s="221">
        <v>70.599999999999994</v>
      </c>
      <c r="T44" s="221">
        <v>70.599999999999994</v>
      </c>
      <c r="U44" s="221">
        <v>70.599999999999994</v>
      </c>
      <c r="V44" s="221">
        <v>70.599999999999994</v>
      </c>
      <c r="W44" s="221">
        <v>70.599999999999994</v>
      </c>
      <c r="X44" s="221">
        <v>70.599999999999994</v>
      </c>
      <c r="Y44" s="221">
        <v>72</v>
      </c>
      <c r="Z44" s="221">
        <v>72</v>
      </c>
      <c r="AA44" s="245">
        <v>72.7</v>
      </c>
      <c r="AB44" s="245">
        <v>71.599999999999994</v>
      </c>
      <c r="AC44" s="245">
        <v>71.8</v>
      </c>
      <c r="AD44" s="245">
        <v>71.5</v>
      </c>
      <c r="AE44" s="245">
        <v>70.900000000000006</v>
      </c>
      <c r="AF44" s="245">
        <v>70.900000000000006</v>
      </c>
      <c r="AG44" s="235">
        <v>70</v>
      </c>
      <c r="AH44" s="226">
        <f t="shared" si="2"/>
        <v>72.7</v>
      </c>
      <c r="AI44" s="227">
        <f t="shared" si="3"/>
        <v>70.599999999999994</v>
      </c>
      <c r="AK44" s="228"/>
    </row>
    <row r="45" spans="1:88" x14ac:dyDescent="0.25">
      <c r="A45" s="234" t="s">
        <v>53</v>
      </c>
      <c r="B45" s="245">
        <v>64.3</v>
      </c>
      <c r="C45" s="245">
        <v>64.5</v>
      </c>
      <c r="D45" s="245">
        <v>64.3</v>
      </c>
      <c r="E45" s="245">
        <v>64.3</v>
      </c>
      <c r="F45" s="245">
        <v>64.3</v>
      </c>
      <c r="G45" s="245">
        <v>64.3</v>
      </c>
      <c r="H45" s="245">
        <v>64.3</v>
      </c>
      <c r="I45" s="245">
        <v>64.3</v>
      </c>
      <c r="J45" s="245">
        <v>64.3</v>
      </c>
      <c r="K45" s="245">
        <v>64.3</v>
      </c>
      <c r="L45" s="245">
        <v>64.3</v>
      </c>
      <c r="M45" s="245">
        <v>64.3</v>
      </c>
      <c r="N45" s="245">
        <v>64.3</v>
      </c>
      <c r="O45" s="245">
        <v>64.099999999999994</v>
      </c>
      <c r="P45" s="245">
        <v>64.099999999999994</v>
      </c>
      <c r="Q45" s="221">
        <v>64.3</v>
      </c>
      <c r="R45" s="221">
        <v>64.8</v>
      </c>
      <c r="S45" s="221">
        <v>64.900000000000006</v>
      </c>
      <c r="T45" s="221">
        <v>64.900000000000006</v>
      </c>
      <c r="U45" s="221">
        <v>64.900000000000006</v>
      </c>
      <c r="V45" s="221">
        <v>64.900000000000006</v>
      </c>
      <c r="W45" s="221">
        <v>64.900000000000006</v>
      </c>
      <c r="X45" s="221">
        <v>64.900000000000006</v>
      </c>
      <c r="Y45" s="221">
        <v>64.900000000000006</v>
      </c>
      <c r="Z45" s="221">
        <v>64.900000000000006</v>
      </c>
      <c r="AA45" s="245">
        <v>64.900000000000006</v>
      </c>
      <c r="AB45" s="245">
        <v>64.7</v>
      </c>
      <c r="AC45" s="245">
        <v>64.599999999999994</v>
      </c>
      <c r="AD45" s="245">
        <v>64.3</v>
      </c>
      <c r="AE45" s="245">
        <v>65</v>
      </c>
      <c r="AF45" s="245">
        <v>63.7</v>
      </c>
      <c r="AG45" s="235">
        <v>69</v>
      </c>
      <c r="AH45" s="226">
        <f t="shared" si="2"/>
        <v>65</v>
      </c>
      <c r="AI45" s="227">
        <f t="shared" si="3"/>
        <v>63.7</v>
      </c>
      <c r="AK45" s="228"/>
    </row>
    <row r="46" spans="1:88" x14ac:dyDescent="0.25">
      <c r="A46" s="234" t="s">
        <v>54</v>
      </c>
      <c r="B46" s="237">
        <v>60.7</v>
      </c>
      <c r="C46" s="237">
        <v>60.7</v>
      </c>
      <c r="D46" s="237">
        <v>60.7</v>
      </c>
      <c r="E46" s="237">
        <v>60.7</v>
      </c>
      <c r="F46" s="237">
        <v>60.7</v>
      </c>
      <c r="G46" s="237">
        <v>60.7</v>
      </c>
      <c r="H46" s="237">
        <v>60.7</v>
      </c>
      <c r="I46" s="237">
        <v>60.7</v>
      </c>
      <c r="J46" s="237">
        <v>60.7</v>
      </c>
      <c r="K46" s="237">
        <v>60.7</v>
      </c>
      <c r="L46" s="237">
        <v>60.7</v>
      </c>
      <c r="M46" s="237">
        <v>60.7</v>
      </c>
      <c r="N46" s="237">
        <v>60.7</v>
      </c>
      <c r="O46" s="237">
        <v>60.9</v>
      </c>
      <c r="P46" s="237">
        <v>60.9</v>
      </c>
      <c r="Q46" s="221">
        <v>60.9</v>
      </c>
      <c r="R46" s="221">
        <v>60.9</v>
      </c>
      <c r="S46" s="221">
        <v>60.9</v>
      </c>
      <c r="T46" s="221">
        <v>60.9</v>
      </c>
      <c r="U46" s="221">
        <v>60.9</v>
      </c>
      <c r="V46" s="221">
        <v>60.9</v>
      </c>
      <c r="W46" s="221">
        <v>60.9</v>
      </c>
      <c r="X46" s="221">
        <v>60.9</v>
      </c>
      <c r="Y46" s="221">
        <v>60.9</v>
      </c>
      <c r="Z46" s="221">
        <v>60.9</v>
      </c>
      <c r="AA46" s="245">
        <v>60.7</v>
      </c>
      <c r="AB46" s="237">
        <v>61.2</v>
      </c>
      <c r="AC46" s="237">
        <v>61.2</v>
      </c>
      <c r="AD46" s="237">
        <v>60.9</v>
      </c>
      <c r="AE46" s="237">
        <v>61.2</v>
      </c>
      <c r="AF46" s="237">
        <v>61.2</v>
      </c>
      <c r="AG46" s="235">
        <v>60</v>
      </c>
      <c r="AH46" s="226">
        <f t="shared" si="2"/>
        <v>61.2</v>
      </c>
      <c r="AI46" s="227">
        <f t="shared" si="3"/>
        <v>60.7</v>
      </c>
      <c r="AK46" s="228"/>
    </row>
    <row r="47" spans="1:88" x14ac:dyDescent="0.25">
      <c r="A47" s="234" t="s">
        <v>55</v>
      </c>
      <c r="B47" s="237">
        <v>15</v>
      </c>
      <c r="C47" s="237">
        <v>15</v>
      </c>
      <c r="D47" s="237">
        <v>15</v>
      </c>
      <c r="E47" s="237">
        <v>15</v>
      </c>
      <c r="F47" s="237">
        <v>15</v>
      </c>
      <c r="G47" s="237">
        <v>15</v>
      </c>
      <c r="H47" s="237">
        <v>15</v>
      </c>
      <c r="I47" s="237">
        <v>15</v>
      </c>
      <c r="J47" s="237">
        <v>15</v>
      </c>
      <c r="K47" s="237">
        <v>15</v>
      </c>
      <c r="L47" s="237">
        <v>15</v>
      </c>
      <c r="M47" s="237">
        <v>15</v>
      </c>
      <c r="N47" s="237">
        <v>15</v>
      </c>
      <c r="O47" s="237">
        <v>28.9</v>
      </c>
      <c r="P47" s="237">
        <v>28.9</v>
      </c>
      <c r="Q47" s="221">
        <v>28.8</v>
      </c>
      <c r="R47" s="221">
        <v>28.8</v>
      </c>
      <c r="S47" s="221">
        <v>28.8</v>
      </c>
      <c r="T47" s="221">
        <v>28.8</v>
      </c>
      <c r="U47" s="221">
        <v>28.8</v>
      </c>
      <c r="V47" s="221">
        <v>28.8</v>
      </c>
      <c r="W47" s="221">
        <v>28.8</v>
      </c>
      <c r="X47" s="221">
        <v>28.8</v>
      </c>
      <c r="Y47" s="221">
        <v>28.8</v>
      </c>
      <c r="Z47" s="221">
        <v>28.8</v>
      </c>
      <c r="AA47" s="245">
        <v>15</v>
      </c>
      <c r="AB47" s="237">
        <v>28.6</v>
      </c>
      <c r="AC47" s="237">
        <v>28.6</v>
      </c>
      <c r="AD47" s="237">
        <v>28.6</v>
      </c>
      <c r="AE47" s="237">
        <v>28.6</v>
      </c>
      <c r="AF47" s="237">
        <v>28.6</v>
      </c>
      <c r="AG47" s="235">
        <v>30</v>
      </c>
      <c r="AH47" s="226">
        <f t="shared" si="2"/>
        <v>28.9</v>
      </c>
      <c r="AI47" s="227">
        <f t="shared" si="3"/>
        <v>15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5</v>
      </c>
      <c r="N48" s="245">
        <v>8</v>
      </c>
      <c r="O48" s="245">
        <v>8</v>
      </c>
      <c r="P48" s="245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8</v>
      </c>
      <c r="Z48" s="221">
        <v>8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16.3</v>
      </c>
      <c r="C49" s="245">
        <v>16.3</v>
      </c>
      <c r="D49" s="245">
        <v>16.3</v>
      </c>
      <c r="E49" s="245">
        <v>16.3</v>
      </c>
      <c r="F49" s="245">
        <v>16.3</v>
      </c>
      <c r="G49" s="245">
        <v>16.3</v>
      </c>
      <c r="H49" s="245">
        <v>16.3</v>
      </c>
      <c r="I49" s="245">
        <v>16.3</v>
      </c>
      <c r="J49" s="245">
        <v>16.3</v>
      </c>
      <c r="K49" s="245">
        <v>16.3</v>
      </c>
      <c r="L49" s="245">
        <v>16.3</v>
      </c>
      <c r="M49" s="245">
        <v>16.3</v>
      </c>
      <c r="N49" s="245">
        <v>16.3</v>
      </c>
      <c r="O49" s="245">
        <v>16.399999999999999</v>
      </c>
      <c r="P49" s="245">
        <v>16.399999999999999</v>
      </c>
      <c r="Q49" s="221">
        <v>10.9</v>
      </c>
      <c r="R49" s="221">
        <v>10.9</v>
      </c>
      <c r="S49" s="221">
        <v>16.3</v>
      </c>
      <c r="T49" s="221">
        <v>16.3</v>
      </c>
      <c r="U49" s="221">
        <v>16.3</v>
      </c>
      <c r="V49" s="221">
        <v>16.3</v>
      </c>
      <c r="W49" s="221">
        <v>16.3</v>
      </c>
      <c r="X49" s="221">
        <v>16.3</v>
      </c>
      <c r="Y49" s="221">
        <v>16.3</v>
      </c>
      <c r="Z49" s="221">
        <v>16.3</v>
      </c>
      <c r="AA49" s="221">
        <v>16.600000000000001</v>
      </c>
      <c r="AB49" s="221">
        <v>16.2</v>
      </c>
      <c r="AC49" s="221">
        <v>16.2</v>
      </c>
      <c r="AD49" s="221">
        <v>16.2</v>
      </c>
      <c r="AE49" s="221">
        <v>16.2</v>
      </c>
      <c r="AF49" s="221">
        <v>16.2</v>
      </c>
      <c r="AG49" s="235">
        <v>24</v>
      </c>
      <c r="AH49" s="226">
        <f t="shared" si="2"/>
        <v>16.600000000000001</v>
      </c>
      <c r="AI49" s="227">
        <f t="shared" si="3"/>
        <v>10.9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12.4</v>
      </c>
      <c r="C51" s="245">
        <v>12.4</v>
      </c>
      <c r="D51" s="245">
        <v>12.4</v>
      </c>
      <c r="E51" s="245">
        <v>12.4</v>
      </c>
      <c r="F51" s="245">
        <v>12.4</v>
      </c>
      <c r="G51" s="245">
        <v>12.4</v>
      </c>
      <c r="H51" s="245">
        <v>12.4</v>
      </c>
      <c r="I51" s="245">
        <v>12.4</v>
      </c>
      <c r="J51" s="245">
        <v>12.4</v>
      </c>
      <c r="K51" s="245">
        <v>12.4</v>
      </c>
      <c r="L51" s="245">
        <v>12.4</v>
      </c>
      <c r="M51" s="245">
        <v>12.4</v>
      </c>
      <c r="N51" s="245">
        <v>12.4</v>
      </c>
      <c r="O51" s="245">
        <v>14</v>
      </c>
      <c r="P51" s="245">
        <v>14</v>
      </c>
      <c r="Q51" s="221">
        <v>13</v>
      </c>
      <c r="R51" s="221">
        <v>13</v>
      </c>
      <c r="S51" s="221">
        <v>11.6</v>
      </c>
      <c r="T51" s="221">
        <v>11.6</v>
      </c>
      <c r="U51" s="221">
        <v>11.6</v>
      </c>
      <c r="V51" s="221">
        <v>11.6</v>
      </c>
      <c r="W51" s="221">
        <v>11.6</v>
      </c>
      <c r="X51" s="221">
        <v>11.6</v>
      </c>
      <c r="Y51" s="221">
        <v>11.6</v>
      </c>
      <c r="Z51" s="221">
        <v>11.6</v>
      </c>
      <c r="AA51" s="221">
        <v>12.4</v>
      </c>
      <c r="AB51" s="221">
        <v>12.4</v>
      </c>
      <c r="AC51" s="221">
        <v>12.4</v>
      </c>
      <c r="AD51" s="221">
        <v>12.4</v>
      </c>
      <c r="AE51" s="221">
        <v>12.4</v>
      </c>
      <c r="AF51" s="221">
        <v>12.4</v>
      </c>
      <c r="AG51" s="235">
        <v>14.1</v>
      </c>
      <c r="AH51" s="226">
        <f t="shared" si="2"/>
        <v>14</v>
      </c>
      <c r="AI51" s="227">
        <f t="shared" si="3"/>
        <v>11.6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6.8</v>
      </c>
      <c r="C52" s="245">
        <v>6.8</v>
      </c>
      <c r="D52" s="245">
        <v>6.8</v>
      </c>
      <c r="E52" s="245">
        <v>6.8</v>
      </c>
      <c r="F52" s="245">
        <v>6.8</v>
      </c>
      <c r="G52" s="245">
        <v>6.8</v>
      </c>
      <c r="H52" s="245">
        <v>6.8</v>
      </c>
      <c r="I52" s="245">
        <v>6.8</v>
      </c>
      <c r="J52" s="245">
        <v>6.8</v>
      </c>
      <c r="K52" s="245">
        <v>6.8</v>
      </c>
      <c r="L52" s="245">
        <v>6.8</v>
      </c>
      <c r="M52" s="245">
        <v>13.5</v>
      </c>
      <c r="N52" s="245">
        <v>13.6</v>
      </c>
      <c r="O52" s="245">
        <v>13.9</v>
      </c>
      <c r="P52" s="245">
        <v>13.9</v>
      </c>
      <c r="Q52" s="221">
        <v>13.9</v>
      </c>
      <c r="R52" s="221">
        <v>13.9</v>
      </c>
      <c r="S52" s="221">
        <v>13.9</v>
      </c>
      <c r="T52" s="221">
        <v>13.9</v>
      </c>
      <c r="U52" s="221">
        <v>13.9</v>
      </c>
      <c r="V52" s="221">
        <v>13.9</v>
      </c>
      <c r="W52" s="221">
        <v>13.9</v>
      </c>
      <c r="X52" s="221">
        <v>13.9</v>
      </c>
      <c r="Y52" s="221">
        <v>13.9</v>
      </c>
      <c r="Z52" s="221">
        <v>13.9</v>
      </c>
      <c r="AA52" s="221">
        <v>13.9</v>
      </c>
      <c r="AB52" s="221">
        <v>13.9</v>
      </c>
      <c r="AC52" s="221">
        <v>13.9</v>
      </c>
      <c r="AD52" s="221">
        <v>13.9</v>
      </c>
      <c r="AE52" s="221">
        <v>13.9</v>
      </c>
      <c r="AF52" s="221">
        <v>4</v>
      </c>
      <c r="AG52" s="235">
        <v>14</v>
      </c>
      <c r="AH52" s="226">
        <f t="shared" si="2"/>
        <v>13.9</v>
      </c>
      <c r="AI52" s="227">
        <f t="shared" si="3"/>
        <v>4</v>
      </c>
      <c r="AK52" s="228"/>
    </row>
    <row r="53" spans="1:41" x14ac:dyDescent="0.25">
      <c r="A53" s="234" t="s">
        <v>61</v>
      </c>
      <c r="B53" s="245">
        <v>6</v>
      </c>
      <c r="C53" s="245">
        <v>6</v>
      </c>
      <c r="D53" s="245">
        <v>6</v>
      </c>
      <c r="E53" s="245">
        <v>6</v>
      </c>
      <c r="F53" s="245">
        <v>6</v>
      </c>
      <c r="G53" s="245">
        <v>6</v>
      </c>
      <c r="H53" s="245">
        <v>6</v>
      </c>
      <c r="I53" s="245">
        <v>6</v>
      </c>
      <c r="J53" s="245">
        <v>6</v>
      </c>
      <c r="K53" s="245">
        <v>6</v>
      </c>
      <c r="L53" s="245">
        <v>6</v>
      </c>
      <c r="M53" s="245">
        <v>8</v>
      </c>
      <c r="N53" s="245">
        <v>8</v>
      </c>
      <c r="O53" s="245">
        <v>8</v>
      </c>
      <c r="P53" s="245">
        <v>8</v>
      </c>
      <c r="Q53" s="245">
        <v>8</v>
      </c>
      <c r="R53" s="245">
        <v>8</v>
      </c>
      <c r="S53" s="245">
        <v>8</v>
      </c>
      <c r="T53" s="245">
        <v>8</v>
      </c>
      <c r="U53" s="245">
        <v>8</v>
      </c>
      <c r="V53" s="245">
        <v>8</v>
      </c>
      <c r="W53" s="245">
        <v>8</v>
      </c>
      <c r="X53" s="245">
        <v>8</v>
      </c>
      <c r="Y53" s="245">
        <v>8</v>
      </c>
      <c r="Z53" s="245">
        <v>8</v>
      </c>
      <c r="AA53" s="221">
        <v>6.2</v>
      </c>
      <c r="AB53" s="221">
        <v>6.2</v>
      </c>
      <c r="AC53" s="221">
        <v>6.2</v>
      </c>
      <c r="AD53" s="221">
        <v>6.2</v>
      </c>
      <c r="AE53" s="221">
        <v>6.2</v>
      </c>
      <c r="AF53" s="221">
        <v>6.2</v>
      </c>
      <c r="AG53" s="235">
        <v>10.050000000000001</v>
      </c>
      <c r="AH53" s="226">
        <f t="shared" si="2"/>
        <v>8</v>
      </c>
      <c r="AI53" s="227">
        <f t="shared" si="3"/>
        <v>6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v>408.44</v>
      </c>
      <c r="C56" s="241">
        <f t="shared" ref="C56:AG56" si="6">SUM(C43:C55)</f>
        <v>408.64</v>
      </c>
      <c r="D56" s="241">
        <f t="shared" si="6"/>
        <v>408.44</v>
      </c>
      <c r="E56" s="241">
        <f t="shared" si="6"/>
        <v>408.44</v>
      </c>
      <c r="F56" s="241">
        <f t="shared" si="6"/>
        <v>408.44</v>
      </c>
      <c r="G56" s="241">
        <f t="shared" si="6"/>
        <v>408.44</v>
      </c>
      <c r="H56" s="241">
        <f t="shared" si="6"/>
        <v>408.44</v>
      </c>
      <c r="I56" s="241">
        <f t="shared" si="6"/>
        <v>408.44</v>
      </c>
      <c r="J56" s="241">
        <f t="shared" si="6"/>
        <v>408.44</v>
      </c>
      <c r="K56" s="241">
        <f t="shared" si="6"/>
        <v>408.44</v>
      </c>
      <c r="L56" s="241">
        <f t="shared" si="6"/>
        <v>408.44</v>
      </c>
      <c r="M56" s="241">
        <f t="shared" si="6"/>
        <v>422.14</v>
      </c>
      <c r="N56" s="241">
        <f t="shared" si="6"/>
        <v>425.24</v>
      </c>
      <c r="O56" s="241">
        <f t="shared" si="6"/>
        <v>442.53999999999991</v>
      </c>
      <c r="P56" s="241">
        <f t="shared" si="6"/>
        <v>442.53999999999991</v>
      </c>
      <c r="Q56" s="241">
        <f t="shared" si="6"/>
        <v>434.43999999999994</v>
      </c>
      <c r="R56" s="241">
        <f t="shared" si="6"/>
        <v>435.34</v>
      </c>
      <c r="S56" s="241">
        <f t="shared" si="6"/>
        <v>438.74</v>
      </c>
      <c r="T56" s="241">
        <f t="shared" si="6"/>
        <v>438.74</v>
      </c>
      <c r="U56" s="241">
        <f t="shared" si="6"/>
        <v>438.74</v>
      </c>
      <c r="V56" s="241">
        <f t="shared" si="6"/>
        <v>438.74</v>
      </c>
      <c r="W56" s="241">
        <f t="shared" si="6"/>
        <v>438.74</v>
      </c>
      <c r="X56" s="241">
        <f t="shared" si="6"/>
        <v>438.74</v>
      </c>
      <c r="Y56" s="241">
        <f t="shared" si="6"/>
        <v>441.14</v>
      </c>
      <c r="Z56" s="241">
        <f t="shared" si="6"/>
        <v>441.14</v>
      </c>
      <c r="AA56" s="241">
        <v>418.43999999999994</v>
      </c>
      <c r="AB56" s="241">
        <f t="shared" si="6"/>
        <v>431.23999999999995</v>
      </c>
      <c r="AC56" s="241">
        <f t="shared" si="6"/>
        <v>431.34</v>
      </c>
      <c r="AD56" s="241">
        <f t="shared" si="6"/>
        <v>430.43999999999994</v>
      </c>
      <c r="AE56" s="241">
        <f t="shared" si="6"/>
        <v>430.94</v>
      </c>
      <c r="AF56" s="241">
        <f t="shared" si="6"/>
        <v>419.64</v>
      </c>
      <c r="AG56" s="242">
        <f t="shared" si="6"/>
        <v>489.91</v>
      </c>
      <c r="AH56" s="226">
        <f t="shared" si="2"/>
        <v>442.53999999999991</v>
      </c>
      <c r="AI56" s="227">
        <f t="shared" si="3"/>
        <v>408.44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60.3</v>
      </c>
      <c r="AB57" s="221">
        <v>20</v>
      </c>
      <c r="AC57" s="221">
        <v>29.1</v>
      </c>
      <c r="AD57" s="221">
        <v>29.1</v>
      </c>
      <c r="AE57" s="221">
        <v>24</v>
      </c>
      <c r="AF57" s="221">
        <v>0</v>
      </c>
      <c r="AG57" s="230">
        <v>60</v>
      </c>
      <c r="AH57" s="226">
        <f t="shared" si="2"/>
        <v>60.3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28.9</v>
      </c>
      <c r="AB58" s="245">
        <v>10.6</v>
      </c>
      <c r="AC58" s="245">
        <v>11</v>
      </c>
      <c r="AD58" s="245">
        <v>14.6</v>
      </c>
      <c r="AE58" s="245">
        <v>10.9</v>
      </c>
      <c r="AF58" s="245">
        <v>0</v>
      </c>
      <c r="AG58" s="235">
        <v>32</v>
      </c>
      <c r="AH58" s="226">
        <f t="shared" si="2"/>
        <v>28.9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10.6</v>
      </c>
      <c r="AB59" s="247">
        <v>3.9</v>
      </c>
      <c r="AC59" s="247">
        <v>4</v>
      </c>
      <c r="AD59" s="247">
        <v>5.3</v>
      </c>
      <c r="AE59" s="247">
        <v>4</v>
      </c>
      <c r="AF59" s="247">
        <v>0</v>
      </c>
      <c r="AG59" s="248">
        <v>14</v>
      </c>
      <c r="AH59" s="226">
        <f t="shared" si="2"/>
        <v>10.6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v>99.799999999999983</v>
      </c>
      <c r="AB60" s="241">
        <f t="shared" si="7"/>
        <v>34.5</v>
      </c>
      <c r="AC60" s="241">
        <f t="shared" si="7"/>
        <v>44.1</v>
      </c>
      <c r="AD60" s="241">
        <f t="shared" si="7"/>
        <v>49</v>
      </c>
      <c r="AE60" s="241">
        <f t="shared" si="7"/>
        <v>38.9</v>
      </c>
      <c r="AF60" s="241">
        <f t="shared" si="7"/>
        <v>0</v>
      </c>
      <c r="AG60" s="242">
        <f t="shared" si="7"/>
        <v>106</v>
      </c>
      <c r="AH60" s="226">
        <f t="shared" si="2"/>
        <v>99.799999999999983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42.8</v>
      </c>
      <c r="C61" s="221">
        <v>10.8</v>
      </c>
      <c r="D61" s="221">
        <v>10.3</v>
      </c>
      <c r="E61" s="221">
        <v>16.899999999999999</v>
      </c>
      <c r="F61" s="221">
        <v>16.899999999999999</v>
      </c>
      <c r="G61" s="221">
        <v>7.2</v>
      </c>
      <c r="H61" s="221">
        <v>7</v>
      </c>
      <c r="I61" s="221">
        <v>10</v>
      </c>
      <c r="J61" s="221">
        <v>13</v>
      </c>
      <c r="K61" s="221">
        <v>57</v>
      </c>
      <c r="L61" s="221">
        <v>56.6</v>
      </c>
      <c r="M61" s="221">
        <v>47.2</v>
      </c>
      <c r="N61" s="221">
        <v>51.9</v>
      </c>
      <c r="O61" s="221">
        <v>26.8</v>
      </c>
      <c r="P61" s="221">
        <v>63.7</v>
      </c>
      <c r="Q61" s="221">
        <v>60.8</v>
      </c>
      <c r="R61" s="221">
        <v>59.7</v>
      </c>
      <c r="S61" s="221">
        <v>62.5</v>
      </c>
      <c r="T61" s="221">
        <v>56</v>
      </c>
      <c r="U61" s="221">
        <v>37</v>
      </c>
      <c r="V61" s="221">
        <v>50</v>
      </c>
      <c r="W61" s="221">
        <v>45</v>
      </c>
      <c r="X61" s="221">
        <v>48</v>
      </c>
      <c r="Y61" s="221">
        <v>39</v>
      </c>
      <c r="Z61" s="221">
        <v>47</v>
      </c>
      <c r="AA61" s="221">
        <v>60</v>
      </c>
      <c r="AB61" s="221">
        <v>64</v>
      </c>
      <c r="AC61" s="221">
        <v>63.9</v>
      </c>
      <c r="AD61" s="221">
        <v>66.8</v>
      </c>
      <c r="AE61" s="221">
        <v>63.6</v>
      </c>
      <c r="AF61" s="221">
        <v>64.8</v>
      </c>
      <c r="AG61" s="230"/>
      <c r="AH61" s="226">
        <f t="shared" si="2"/>
        <v>66.8</v>
      </c>
      <c r="AI61" s="227">
        <f t="shared" si="3"/>
        <v>7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-362.4</v>
      </c>
      <c r="C63" s="245">
        <v>-373</v>
      </c>
      <c r="D63" s="245">
        <v>-400</v>
      </c>
      <c r="E63" s="245">
        <v>-374</v>
      </c>
      <c r="F63" s="245">
        <v>-400</v>
      </c>
      <c r="G63" s="245">
        <v>-400</v>
      </c>
      <c r="H63" s="245">
        <v>-422</v>
      </c>
      <c r="I63" s="245">
        <v>-405</v>
      </c>
      <c r="J63" s="245">
        <v>-365</v>
      </c>
      <c r="K63" s="245">
        <v>-378</v>
      </c>
      <c r="L63" s="245">
        <v>-367</v>
      </c>
      <c r="M63" s="245">
        <v>-335.8</v>
      </c>
      <c r="N63" s="245">
        <v>-278</v>
      </c>
      <c r="O63" s="245">
        <v>-246</v>
      </c>
      <c r="P63" s="245">
        <v>-249.5</v>
      </c>
      <c r="Q63" s="245">
        <v>-250</v>
      </c>
      <c r="R63" s="245">
        <v>-241.3</v>
      </c>
      <c r="S63" s="245">
        <v>-214</v>
      </c>
      <c r="T63" s="245">
        <v>-227</v>
      </c>
      <c r="U63" s="245">
        <v>-250</v>
      </c>
      <c r="V63" s="245">
        <v>-250</v>
      </c>
      <c r="W63" s="245">
        <v>-250</v>
      </c>
      <c r="X63" s="245">
        <v>-308</v>
      </c>
      <c r="Y63" s="245">
        <v>-290</v>
      </c>
      <c r="Z63" s="245">
        <v>-229</v>
      </c>
      <c r="AA63" s="245">
        <v>-230</v>
      </c>
      <c r="AB63" s="245">
        <v>-183.1</v>
      </c>
      <c r="AC63" s="245">
        <v>-206.9</v>
      </c>
      <c r="AD63" s="245">
        <v>-248.3</v>
      </c>
      <c r="AE63" s="245">
        <v>-335.5</v>
      </c>
      <c r="AF63" s="245">
        <v>-350.2</v>
      </c>
      <c r="AG63" s="255"/>
      <c r="AH63" s="226">
        <f t="shared" si="2"/>
        <v>-183.1</v>
      </c>
      <c r="AI63" s="227">
        <f t="shared" si="3"/>
        <v>-422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5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5</v>
      </c>
      <c r="AB66" s="257">
        <v>5</v>
      </c>
      <c r="AC66" s="257">
        <v>5</v>
      </c>
      <c r="AD66" s="257">
        <v>5</v>
      </c>
      <c r="AE66" s="257">
        <v>5</v>
      </c>
      <c r="AF66" s="257">
        <v>5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v>45</v>
      </c>
      <c r="C72" s="241">
        <f t="shared" ref="C72:L72" si="8">SUMIF(C61:C71,"&gt;0")</f>
        <v>10.8</v>
      </c>
      <c r="D72" s="241">
        <f t="shared" si="8"/>
        <v>10.3</v>
      </c>
      <c r="E72" s="241">
        <f t="shared" si="8"/>
        <v>16.899999999999999</v>
      </c>
      <c r="F72" s="241">
        <f t="shared" si="8"/>
        <v>16.899999999999999</v>
      </c>
      <c r="G72" s="241">
        <f t="shared" si="8"/>
        <v>7.2</v>
      </c>
      <c r="H72" s="241">
        <f t="shared" si="8"/>
        <v>7</v>
      </c>
      <c r="I72" s="241">
        <f t="shared" si="8"/>
        <v>10</v>
      </c>
      <c r="J72" s="241">
        <f t="shared" si="8"/>
        <v>13</v>
      </c>
      <c r="K72" s="241">
        <f t="shared" si="8"/>
        <v>57</v>
      </c>
      <c r="L72" s="241">
        <f t="shared" si="8"/>
        <v>56.6</v>
      </c>
      <c r="M72" s="241">
        <f>SUMIF(M61:M71,"&gt;0")</f>
        <v>52.2</v>
      </c>
      <c r="N72" s="241">
        <f t="shared" ref="N72:AF72" si="9">SUMIF(N61:N71,"&gt;0")</f>
        <v>51.9</v>
      </c>
      <c r="O72" s="241">
        <f t="shared" si="9"/>
        <v>26.8</v>
      </c>
      <c r="P72" s="241">
        <f t="shared" si="9"/>
        <v>63.7</v>
      </c>
      <c r="Q72" s="241">
        <f t="shared" si="9"/>
        <v>60.8</v>
      </c>
      <c r="R72" s="241">
        <f t="shared" si="9"/>
        <v>59.7</v>
      </c>
      <c r="S72" s="241">
        <f t="shared" si="9"/>
        <v>62.5</v>
      </c>
      <c r="T72" s="241">
        <f t="shared" si="9"/>
        <v>56</v>
      </c>
      <c r="U72" s="241">
        <f t="shared" si="9"/>
        <v>37</v>
      </c>
      <c r="V72" s="241">
        <f t="shared" si="9"/>
        <v>50</v>
      </c>
      <c r="W72" s="241">
        <f t="shared" si="9"/>
        <v>45</v>
      </c>
      <c r="X72" s="241">
        <f t="shared" si="9"/>
        <v>48</v>
      </c>
      <c r="Y72" s="241">
        <f t="shared" si="9"/>
        <v>39</v>
      </c>
      <c r="Z72" s="241">
        <f t="shared" si="9"/>
        <v>47</v>
      </c>
      <c r="AA72" s="241">
        <v>65</v>
      </c>
      <c r="AB72" s="241">
        <f t="shared" si="9"/>
        <v>69</v>
      </c>
      <c r="AC72" s="241">
        <f t="shared" si="9"/>
        <v>68.900000000000006</v>
      </c>
      <c r="AD72" s="241">
        <f t="shared" si="9"/>
        <v>71.8</v>
      </c>
      <c r="AE72" s="241">
        <f t="shared" si="9"/>
        <v>68.599999999999994</v>
      </c>
      <c r="AF72" s="241">
        <f t="shared" si="9"/>
        <v>69.8</v>
      </c>
      <c r="AG72" s="261">
        <f>SUM(AG61:AG71)</f>
        <v>0</v>
      </c>
      <c r="AH72" s="226">
        <f t="shared" si="2"/>
        <v>71.8</v>
      </c>
      <c r="AI72" s="227">
        <f t="shared" si="3"/>
        <v>7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v>1816.04</v>
      </c>
      <c r="C77" s="263">
        <f t="shared" ref="C77:AF77" si="10">C38+C42+C60+C56+C72+C76</f>
        <v>1757.4399999999998</v>
      </c>
      <c r="D77" s="263">
        <f t="shared" si="10"/>
        <v>1756.74</v>
      </c>
      <c r="E77" s="263">
        <f t="shared" si="10"/>
        <v>1763.3400000000001</v>
      </c>
      <c r="F77" s="263">
        <f t="shared" si="10"/>
        <v>1743.3400000000001</v>
      </c>
      <c r="G77" s="263">
        <f t="shared" si="10"/>
        <v>1728.64</v>
      </c>
      <c r="H77" s="263">
        <f t="shared" si="10"/>
        <v>1720.44</v>
      </c>
      <c r="I77" s="263">
        <f t="shared" si="10"/>
        <v>1723.44</v>
      </c>
      <c r="J77" s="263">
        <f t="shared" si="10"/>
        <v>1726.44</v>
      </c>
      <c r="K77" s="263">
        <f t="shared" si="10"/>
        <v>1787.14</v>
      </c>
      <c r="L77" s="263">
        <f t="shared" si="10"/>
        <v>1805.04</v>
      </c>
      <c r="M77" s="263">
        <f t="shared" si="10"/>
        <v>1823.0400000000002</v>
      </c>
      <c r="N77" s="263">
        <f t="shared" si="10"/>
        <v>1759.8400000000001</v>
      </c>
      <c r="O77" s="263">
        <f t="shared" si="10"/>
        <v>1808.04</v>
      </c>
      <c r="P77" s="263">
        <f t="shared" si="10"/>
        <v>1849.94</v>
      </c>
      <c r="Q77" s="263">
        <f t="shared" si="10"/>
        <v>1813.74</v>
      </c>
      <c r="R77" s="263">
        <f t="shared" si="10"/>
        <v>1813.54</v>
      </c>
      <c r="S77" s="263">
        <f t="shared" si="10"/>
        <v>1788.1399999999999</v>
      </c>
      <c r="T77" s="263">
        <f t="shared" si="10"/>
        <v>1781.6399999999999</v>
      </c>
      <c r="U77" s="263">
        <f t="shared" si="10"/>
        <v>1752.6399999999999</v>
      </c>
      <c r="V77" s="263">
        <f t="shared" si="10"/>
        <v>1795.6399999999999</v>
      </c>
      <c r="W77" s="263">
        <f t="shared" si="10"/>
        <v>1760.6399999999999</v>
      </c>
      <c r="X77" s="263">
        <f t="shared" si="10"/>
        <v>1751.1399999999999</v>
      </c>
      <c r="Y77" s="263">
        <f t="shared" si="10"/>
        <v>1815.54</v>
      </c>
      <c r="Z77" s="263">
        <f t="shared" si="10"/>
        <v>1823.54</v>
      </c>
      <c r="AA77" s="263">
        <v>1929.14</v>
      </c>
      <c r="AB77" s="263">
        <f t="shared" si="10"/>
        <v>1889.04</v>
      </c>
      <c r="AC77" s="263">
        <f t="shared" si="10"/>
        <v>1898.6399999999999</v>
      </c>
      <c r="AD77" s="263">
        <f t="shared" si="10"/>
        <v>1905.14</v>
      </c>
      <c r="AE77" s="263">
        <f t="shared" si="10"/>
        <v>1876.44</v>
      </c>
      <c r="AF77" s="263">
        <f t="shared" si="10"/>
        <v>1820.4399999999998</v>
      </c>
      <c r="AG77" s="242">
        <f>AG38+AG42+AG60+AG56+AG72+AG76</f>
        <v>1855.1900000000003</v>
      </c>
      <c r="AH77" s="226">
        <f t="shared" si="2"/>
        <v>1929.14</v>
      </c>
      <c r="AI77" s="227">
        <f t="shared" si="3"/>
        <v>1720.44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v>1816.04</v>
      </c>
      <c r="C79" s="263">
        <f t="shared" ref="C79:AF79" si="11">C77+C78</f>
        <v>1757.4399999999998</v>
      </c>
      <c r="D79" s="263">
        <f t="shared" si="11"/>
        <v>1756.74</v>
      </c>
      <c r="E79" s="263">
        <f t="shared" si="11"/>
        <v>1763.3400000000001</v>
      </c>
      <c r="F79" s="263">
        <f t="shared" si="11"/>
        <v>1743.3400000000001</v>
      </c>
      <c r="G79" s="263">
        <f t="shared" si="11"/>
        <v>1728.64</v>
      </c>
      <c r="H79" s="263">
        <f t="shared" si="11"/>
        <v>1720.44</v>
      </c>
      <c r="I79" s="263">
        <f t="shared" si="11"/>
        <v>1723.44</v>
      </c>
      <c r="J79" s="263">
        <f t="shared" si="11"/>
        <v>1726.44</v>
      </c>
      <c r="K79" s="263">
        <f t="shared" si="11"/>
        <v>1787.14</v>
      </c>
      <c r="L79" s="263">
        <f t="shared" si="11"/>
        <v>1805.04</v>
      </c>
      <c r="M79" s="263">
        <f t="shared" si="11"/>
        <v>1823.0400000000002</v>
      </c>
      <c r="N79" s="263">
        <f t="shared" si="11"/>
        <v>1759.8400000000001</v>
      </c>
      <c r="O79" s="263">
        <f t="shared" si="11"/>
        <v>1808.04</v>
      </c>
      <c r="P79" s="263">
        <f t="shared" si="11"/>
        <v>1849.94</v>
      </c>
      <c r="Q79" s="263">
        <f t="shared" si="11"/>
        <v>1813.74</v>
      </c>
      <c r="R79" s="263">
        <f t="shared" si="11"/>
        <v>1813.54</v>
      </c>
      <c r="S79" s="263">
        <f t="shared" si="11"/>
        <v>1788.1399999999999</v>
      </c>
      <c r="T79" s="263">
        <f t="shared" si="11"/>
        <v>1781.6399999999999</v>
      </c>
      <c r="U79" s="263">
        <f t="shared" si="11"/>
        <v>1752.6399999999999</v>
      </c>
      <c r="V79" s="263">
        <f t="shared" si="11"/>
        <v>1795.6399999999999</v>
      </c>
      <c r="W79" s="263">
        <f t="shared" si="11"/>
        <v>1760.6399999999999</v>
      </c>
      <c r="X79" s="263">
        <f t="shared" si="11"/>
        <v>1751.1399999999999</v>
      </c>
      <c r="Y79" s="263">
        <f t="shared" si="11"/>
        <v>1815.54</v>
      </c>
      <c r="Z79" s="263">
        <f t="shared" si="11"/>
        <v>1823.54</v>
      </c>
      <c r="AA79" s="263">
        <v>1929.14</v>
      </c>
      <c r="AB79" s="263">
        <f t="shared" si="11"/>
        <v>1889.04</v>
      </c>
      <c r="AC79" s="263">
        <f t="shared" si="11"/>
        <v>1898.6399999999999</v>
      </c>
      <c r="AD79" s="263">
        <f t="shared" si="11"/>
        <v>1905.14</v>
      </c>
      <c r="AE79" s="263">
        <f t="shared" si="11"/>
        <v>1876.44</v>
      </c>
      <c r="AF79" s="263">
        <f t="shared" si="11"/>
        <v>1820.4399999999998</v>
      </c>
      <c r="AG79" s="261">
        <f>AG76+AG72+AG60+AG56+AG38+AG78</f>
        <v>1317.0900000000001</v>
      </c>
      <c r="AH79" s="226">
        <f t="shared" si="2"/>
        <v>1929.14</v>
      </c>
      <c r="AI79" s="227">
        <f t="shared" si="3"/>
        <v>1720.44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v>1453.04</v>
      </c>
      <c r="C80" s="263">
        <f t="shared" ref="C80:AF80" si="12">C79-C87</f>
        <v>1384.4399999999998</v>
      </c>
      <c r="D80" s="263">
        <f t="shared" si="12"/>
        <v>1356.74</v>
      </c>
      <c r="E80" s="263">
        <f t="shared" si="12"/>
        <v>1389.3400000000001</v>
      </c>
      <c r="F80" s="263">
        <f t="shared" si="12"/>
        <v>1343.3400000000001</v>
      </c>
      <c r="G80" s="263">
        <f t="shared" si="12"/>
        <v>1328.64</v>
      </c>
      <c r="H80" s="263">
        <f t="shared" si="12"/>
        <v>1298.44</v>
      </c>
      <c r="I80" s="263">
        <f t="shared" si="12"/>
        <v>1318.44</v>
      </c>
      <c r="J80" s="263">
        <f t="shared" si="12"/>
        <v>1361.44</v>
      </c>
      <c r="K80" s="263">
        <f t="shared" si="12"/>
        <v>1409.14</v>
      </c>
      <c r="L80" s="263">
        <f t="shared" si="12"/>
        <v>1438.04</v>
      </c>
      <c r="M80" s="263">
        <f t="shared" si="12"/>
        <v>1487.2400000000002</v>
      </c>
      <c r="N80" s="263">
        <f t="shared" si="12"/>
        <v>1481.8400000000001</v>
      </c>
      <c r="O80" s="263">
        <f t="shared" si="12"/>
        <v>1562.04</v>
      </c>
      <c r="P80" s="263">
        <f t="shared" si="12"/>
        <v>1600.44</v>
      </c>
      <c r="Q80" s="263">
        <f t="shared" si="12"/>
        <v>1563.74</v>
      </c>
      <c r="R80" s="263">
        <f t="shared" si="12"/>
        <v>1572.24</v>
      </c>
      <c r="S80" s="263">
        <f t="shared" si="12"/>
        <v>1574.1399999999999</v>
      </c>
      <c r="T80" s="263">
        <f t="shared" si="12"/>
        <v>1554.6399999999999</v>
      </c>
      <c r="U80" s="263">
        <f t="shared" si="12"/>
        <v>1502.6399999999999</v>
      </c>
      <c r="V80" s="263">
        <f t="shared" si="12"/>
        <v>1545.6399999999999</v>
      </c>
      <c r="W80" s="263">
        <f t="shared" si="12"/>
        <v>1510.6399999999999</v>
      </c>
      <c r="X80" s="263">
        <f t="shared" si="12"/>
        <v>1443.1399999999999</v>
      </c>
      <c r="Y80" s="263">
        <f t="shared" si="12"/>
        <v>1525.54</v>
      </c>
      <c r="Z80" s="263">
        <f t="shared" si="12"/>
        <v>1594.54</v>
      </c>
      <c r="AA80" s="263">
        <v>1699.14</v>
      </c>
      <c r="AB80" s="263">
        <f t="shared" si="12"/>
        <v>1705.94</v>
      </c>
      <c r="AC80" s="263">
        <f t="shared" si="12"/>
        <v>1691.7399999999998</v>
      </c>
      <c r="AD80" s="263">
        <f t="shared" si="12"/>
        <v>1656.8400000000001</v>
      </c>
      <c r="AE80" s="263">
        <f t="shared" si="12"/>
        <v>1540.94</v>
      </c>
      <c r="AF80" s="263">
        <f t="shared" si="12"/>
        <v>1470.2399999999998</v>
      </c>
      <c r="AG80" s="261"/>
      <c r="AH80" s="226">
        <f t="shared" ref="AH80:AH97" si="13">MAX(B80:AF80)</f>
        <v>1705.94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v>363</v>
      </c>
      <c r="C84" s="256">
        <f t="shared" ref="C84:AF84" si="18">IF(C63&lt;0,C63*-1,0)</f>
        <v>373</v>
      </c>
      <c r="D84" s="256">
        <f t="shared" si="18"/>
        <v>400</v>
      </c>
      <c r="E84" s="256">
        <f t="shared" si="18"/>
        <v>374</v>
      </c>
      <c r="F84" s="256">
        <f t="shared" si="18"/>
        <v>400</v>
      </c>
      <c r="G84" s="256">
        <f t="shared" si="18"/>
        <v>400</v>
      </c>
      <c r="H84" s="256">
        <f t="shared" si="18"/>
        <v>422</v>
      </c>
      <c r="I84" s="256">
        <f t="shared" si="18"/>
        <v>405</v>
      </c>
      <c r="J84" s="256">
        <f t="shared" si="18"/>
        <v>365</v>
      </c>
      <c r="K84" s="256">
        <f t="shared" si="18"/>
        <v>378</v>
      </c>
      <c r="L84" s="256">
        <f t="shared" si="18"/>
        <v>367</v>
      </c>
      <c r="M84" s="256">
        <f t="shared" si="18"/>
        <v>335.8</v>
      </c>
      <c r="N84" s="256">
        <f t="shared" si="18"/>
        <v>278</v>
      </c>
      <c r="O84" s="256">
        <f t="shared" si="18"/>
        <v>246</v>
      </c>
      <c r="P84" s="256">
        <f t="shared" si="18"/>
        <v>249.5</v>
      </c>
      <c r="Q84" s="256">
        <f t="shared" si="18"/>
        <v>250</v>
      </c>
      <c r="R84" s="256">
        <f t="shared" si="18"/>
        <v>241.3</v>
      </c>
      <c r="S84" s="256">
        <f t="shared" si="18"/>
        <v>214</v>
      </c>
      <c r="T84" s="256">
        <f t="shared" si="18"/>
        <v>227</v>
      </c>
      <c r="U84" s="256">
        <f t="shared" si="18"/>
        <v>250</v>
      </c>
      <c r="V84" s="256">
        <f t="shared" si="18"/>
        <v>250</v>
      </c>
      <c r="W84" s="256">
        <f t="shared" si="18"/>
        <v>250</v>
      </c>
      <c r="X84" s="256">
        <f t="shared" si="18"/>
        <v>308</v>
      </c>
      <c r="Y84" s="256">
        <f t="shared" si="18"/>
        <v>290</v>
      </c>
      <c r="Z84" s="256">
        <f t="shared" si="18"/>
        <v>229</v>
      </c>
      <c r="AA84" s="256">
        <v>230</v>
      </c>
      <c r="AB84" s="256">
        <f t="shared" si="18"/>
        <v>183.1</v>
      </c>
      <c r="AC84" s="256">
        <f t="shared" si="18"/>
        <v>206.9</v>
      </c>
      <c r="AD84" s="256">
        <f t="shared" si="18"/>
        <v>248.3</v>
      </c>
      <c r="AE84" s="256">
        <f t="shared" si="18"/>
        <v>335.5</v>
      </c>
      <c r="AF84" s="256">
        <f t="shared" si="18"/>
        <v>350.2</v>
      </c>
      <c r="AG84" s="266"/>
      <c r="AH84" s="226">
        <f t="shared" si="13"/>
        <v>422</v>
      </c>
      <c r="AI84" s="227">
        <f t="shared" si="15"/>
        <v>183.1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v>363</v>
      </c>
      <c r="C87" s="241">
        <f t="shared" ref="C87:AF87" si="20">SUM(C81:C86)</f>
        <v>373</v>
      </c>
      <c r="D87" s="241">
        <f t="shared" si="20"/>
        <v>400</v>
      </c>
      <c r="E87" s="241">
        <f t="shared" si="20"/>
        <v>374</v>
      </c>
      <c r="F87" s="241">
        <f t="shared" si="20"/>
        <v>400</v>
      </c>
      <c r="G87" s="241">
        <f t="shared" si="20"/>
        <v>400</v>
      </c>
      <c r="H87" s="241">
        <f t="shared" si="20"/>
        <v>422</v>
      </c>
      <c r="I87" s="241">
        <f t="shared" si="20"/>
        <v>405</v>
      </c>
      <c r="J87" s="241">
        <f t="shared" si="20"/>
        <v>365</v>
      </c>
      <c r="K87" s="241">
        <f t="shared" si="20"/>
        <v>378</v>
      </c>
      <c r="L87" s="241">
        <f t="shared" si="20"/>
        <v>367</v>
      </c>
      <c r="M87" s="241">
        <f t="shared" si="20"/>
        <v>335.8</v>
      </c>
      <c r="N87" s="241">
        <f t="shared" si="20"/>
        <v>278</v>
      </c>
      <c r="O87" s="241">
        <f t="shared" si="20"/>
        <v>246</v>
      </c>
      <c r="P87" s="241">
        <f t="shared" si="20"/>
        <v>249.5</v>
      </c>
      <c r="Q87" s="241">
        <f t="shared" si="20"/>
        <v>250</v>
      </c>
      <c r="R87" s="241">
        <f t="shared" si="20"/>
        <v>241.3</v>
      </c>
      <c r="S87" s="241">
        <f t="shared" si="20"/>
        <v>214</v>
      </c>
      <c r="T87" s="241">
        <f t="shared" si="20"/>
        <v>227</v>
      </c>
      <c r="U87" s="241">
        <f t="shared" si="20"/>
        <v>250</v>
      </c>
      <c r="V87" s="241">
        <f t="shared" si="20"/>
        <v>250</v>
      </c>
      <c r="W87" s="241">
        <f t="shared" si="20"/>
        <v>250</v>
      </c>
      <c r="X87" s="241">
        <f t="shared" si="20"/>
        <v>308</v>
      </c>
      <c r="Y87" s="241">
        <f t="shared" si="20"/>
        <v>290</v>
      </c>
      <c r="Z87" s="241">
        <f t="shared" si="20"/>
        <v>229</v>
      </c>
      <c r="AA87" s="241">
        <v>230</v>
      </c>
      <c r="AB87" s="241">
        <f t="shared" si="20"/>
        <v>183.1</v>
      </c>
      <c r="AC87" s="241">
        <f t="shared" si="20"/>
        <v>206.9</v>
      </c>
      <c r="AD87" s="241">
        <f t="shared" si="20"/>
        <v>248.3</v>
      </c>
      <c r="AE87" s="241">
        <f t="shared" si="20"/>
        <v>335.5</v>
      </c>
      <c r="AF87" s="241">
        <f t="shared" si="20"/>
        <v>350.2</v>
      </c>
      <c r="AG87" s="261"/>
      <c r="AH87" s="226">
        <f t="shared" si="13"/>
        <v>422</v>
      </c>
      <c r="AI87" s="227">
        <f t="shared" si="15"/>
        <v>183.1</v>
      </c>
      <c r="AK87" s="228"/>
    </row>
    <row r="88" spans="1:88" s="175" customFormat="1" ht="15.75" thickBot="1" x14ac:dyDescent="0.3">
      <c r="A88" s="254" t="s">
        <v>93</v>
      </c>
      <c r="B88" s="241">
        <v>-318</v>
      </c>
      <c r="C88" s="241">
        <f t="shared" ref="C88:AF88" si="21">C72-C87</f>
        <v>-362.2</v>
      </c>
      <c r="D88" s="241">
        <f t="shared" si="21"/>
        <v>-389.7</v>
      </c>
      <c r="E88" s="241">
        <f t="shared" si="21"/>
        <v>-357.1</v>
      </c>
      <c r="F88" s="241">
        <f t="shared" si="21"/>
        <v>-383.1</v>
      </c>
      <c r="G88" s="241">
        <f t="shared" si="21"/>
        <v>-392.8</v>
      </c>
      <c r="H88" s="241">
        <f t="shared" si="21"/>
        <v>-415</v>
      </c>
      <c r="I88" s="241">
        <f t="shared" si="21"/>
        <v>-395</v>
      </c>
      <c r="J88" s="241">
        <f t="shared" si="21"/>
        <v>-352</v>
      </c>
      <c r="K88" s="241">
        <f t="shared" si="21"/>
        <v>-321</v>
      </c>
      <c r="L88" s="241">
        <f t="shared" si="21"/>
        <v>-310.39999999999998</v>
      </c>
      <c r="M88" s="241">
        <f t="shared" si="21"/>
        <v>-283.60000000000002</v>
      </c>
      <c r="N88" s="241">
        <f t="shared" si="21"/>
        <v>-226.1</v>
      </c>
      <c r="O88" s="241">
        <f t="shared" si="21"/>
        <v>-219.2</v>
      </c>
      <c r="P88" s="241">
        <f t="shared" si="21"/>
        <v>-185.8</v>
      </c>
      <c r="Q88" s="241">
        <f t="shared" si="21"/>
        <v>-189.2</v>
      </c>
      <c r="R88" s="241">
        <f t="shared" si="21"/>
        <v>-181.60000000000002</v>
      </c>
      <c r="S88" s="241">
        <f t="shared" si="21"/>
        <v>-151.5</v>
      </c>
      <c r="T88" s="241">
        <f t="shared" si="21"/>
        <v>-171</v>
      </c>
      <c r="U88" s="241">
        <f t="shared" si="21"/>
        <v>-213</v>
      </c>
      <c r="V88" s="241">
        <f t="shared" si="21"/>
        <v>-200</v>
      </c>
      <c r="W88" s="241">
        <f t="shared" si="21"/>
        <v>-205</v>
      </c>
      <c r="X88" s="241">
        <f t="shared" si="21"/>
        <v>-260</v>
      </c>
      <c r="Y88" s="241">
        <f t="shared" si="21"/>
        <v>-251</v>
      </c>
      <c r="Z88" s="241">
        <f t="shared" si="21"/>
        <v>-182</v>
      </c>
      <c r="AA88" s="241">
        <v>-165</v>
      </c>
      <c r="AB88" s="241">
        <f t="shared" si="21"/>
        <v>-114.1</v>
      </c>
      <c r="AC88" s="241">
        <f t="shared" si="21"/>
        <v>-138</v>
      </c>
      <c r="AD88" s="241">
        <f t="shared" si="21"/>
        <v>-176.5</v>
      </c>
      <c r="AE88" s="241">
        <f t="shared" si="21"/>
        <v>-266.89999999999998</v>
      </c>
      <c r="AF88" s="241">
        <f t="shared" si="21"/>
        <v>-280.39999999999998</v>
      </c>
      <c r="AG88" s="261"/>
      <c r="AH88" s="226">
        <f t="shared" si="13"/>
        <v>-114.1</v>
      </c>
      <c r="AI88" s="227">
        <f t="shared" si="15"/>
        <v>-415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50.027000000000001</v>
      </c>
      <c r="C89" s="269">
        <v>49.947000000000003</v>
      </c>
      <c r="D89" s="269">
        <v>49.98</v>
      </c>
      <c r="E89" s="269">
        <v>50.02</v>
      </c>
      <c r="F89" s="269">
        <v>50.02</v>
      </c>
      <c r="G89" s="269">
        <v>49.99</v>
      </c>
      <c r="H89" s="269">
        <v>49.98</v>
      </c>
      <c r="I89" s="269">
        <v>50.01</v>
      </c>
      <c r="J89" s="269">
        <v>49.96</v>
      </c>
      <c r="K89" s="269">
        <v>50.04</v>
      </c>
      <c r="L89" s="269">
        <v>49.99</v>
      </c>
      <c r="M89" s="269">
        <v>50.042999999999999</v>
      </c>
      <c r="N89" s="269">
        <v>50.046999999999997</v>
      </c>
      <c r="O89" s="269">
        <v>50.031999999999996</v>
      </c>
      <c r="P89" s="269">
        <v>49.938000000000002</v>
      </c>
      <c r="Q89" s="269">
        <v>50.05</v>
      </c>
      <c r="R89" s="269">
        <v>49.970999999999997</v>
      </c>
      <c r="S89" s="269">
        <v>50.125</v>
      </c>
      <c r="T89" s="269">
        <v>50.1</v>
      </c>
      <c r="U89" s="269">
        <v>50.1</v>
      </c>
      <c r="V89" s="269">
        <v>50.033000000000001</v>
      </c>
      <c r="W89" s="269">
        <v>50.075000000000003</v>
      </c>
      <c r="X89" s="269">
        <v>50.018999999999998</v>
      </c>
      <c r="Y89" s="269">
        <v>49.929000000000002</v>
      </c>
      <c r="Z89" s="269">
        <v>50.002000000000002</v>
      </c>
      <c r="AA89" s="269">
        <v>49.941000000000003</v>
      </c>
      <c r="AB89" s="269">
        <v>50.058999999999997</v>
      </c>
      <c r="AC89" s="269">
        <v>50.008000000000003</v>
      </c>
      <c r="AD89" s="269">
        <v>49.959000000000003</v>
      </c>
      <c r="AE89" s="269">
        <v>49.906999999999996</v>
      </c>
      <c r="AF89" s="269">
        <v>50.021000000000001</v>
      </c>
      <c r="AG89" s="270"/>
      <c r="AH89" s="226">
        <f t="shared" si="13"/>
        <v>50.125</v>
      </c>
      <c r="AI89" s="227">
        <f t="shared" si="15"/>
        <v>49.906999999999996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122.7</v>
      </c>
      <c r="C90" s="245">
        <v>122.8</v>
      </c>
      <c r="D90" s="245">
        <v>124.5</v>
      </c>
      <c r="E90" s="245">
        <v>126.3</v>
      </c>
      <c r="F90" s="245">
        <v>126.3</v>
      </c>
      <c r="G90" s="245">
        <v>125.5</v>
      </c>
      <c r="H90" s="245">
        <v>126</v>
      </c>
      <c r="I90" s="245">
        <v>125.5</v>
      </c>
      <c r="J90" s="245">
        <v>123.6</v>
      </c>
      <c r="K90" s="245">
        <v>123</v>
      </c>
      <c r="L90" s="245">
        <v>123.2</v>
      </c>
      <c r="M90" s="245">
        <v>122.5</v>
      </c>
      <c r="N90" s="245">
        <v>121.7</v>
      </c>
      <c r="O90" s="245">
        <v>120.6</v>
      </c>
      <c r="P90" s="245">
        <v>120.5</v>
      </c>
      <c r="Q90" s="245">
        <v>121</v>
      </c>
      <c r="R90" s="245">
        <v>121.1</v>
      </c>
      <c r="S90" s="245">
        <v>121.8</v>
      </c>
      <c r="T90" s="245">
        <v>122</v>
      </c>
      <c r="U90" s="245">
        <v>122</v>
      </c>
      <c r="V90" s="245">
        <v>123</v>
      </c>
      <c r="W90" s="245">
        <v>123</v>
      </c>
      <c r="X90" s="245">
        <v>124</v>
      </c>
      <c r="Y90" s="245">
        <v>124</v>
      </c>
      <c r="Z90" s="245">
        <v>124</v>
      </c>
      <c r="AA90" s="245">
        <v>124.4</v>
      </c>
      <c r="AB90" s="245">
        <v>125.9</v>
      </c>
      <c r="AC90" s="245">
        <v>124.6</v>
      </c>
      <c r="AD90" s="245">
        <v>123.4</v>
      </c>
      <c r="AE90" s="245">
        <v>123.8</v>
      </c>
      <c r="AF90" s="245">
        <v>123.9</v>
      </c>
      <c r="AG90" s="272"/>
      <c r="AH90" s="226">
        <f t="shared" si="13"/>
        <v>126.3</v>
      </c>
      <c r="AI90" s="227">
        <f t="shared" si="15"/>
        <v>120.5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127.8</v>
      </c>
      <c r="C91" s="245">
        <v>127.9</v>
      </c>
      <c r="D91" s="245">
        <v>129</v>
      </c>
      <c r="E91" s="245">
        <v>130.4</v>
      </c>
      <c r="F91" s="245">
        <v>130.4</v>
      </c>
      <c r="G91" s="245">
        <v>130</v>
      </c>
      <c r="H91" s="245">
        <v>130</v>
      </c>
      <c r="I91" s="245">
        <v>130</v>
      </c>
      <c r="J91" s="245">
        <v>127.1</v>
      </c>
      <c r="K91" s="245">
        <v>126</v>
      </c>
      <c r="L91" s="245">
        <v>125.9</v>
      </c>
      <c r="M91" s="245">
        <v>125.4</v>
      </c>
      <c r="N91" s="245">
        <v>125.1</v>
      </c>
      <c r="O91" s="245">
        <v>123.9</v>
      </c>
      <c r="P91" s="245">
        <v>124.1</v>
      </c>
      <c r="Q91" s="245">
        <v>124.1</v>
      </c>
      <c r="R91" s="245">
        <v>124.5</v>
      </c>
      <c r="S91" s="245">
        <v>124.5</v>
      </c>
      <c r="T91" s="245">
        <v>125</v>
      </c>
      <c r="U91" s="245">
        <v>125</v>
      </c>
      <c r="V91" s="245">
        <v>126</v>
      </c>
      <c r="W91" s="245">
        <v>126</v>
      </c>
      <c r="X91" s="245">
        <v>127</v>
      </c>
      <c r="Y91" s="245">
        <v>127</v>
      </c>
      <c r="Z91" s="245">
        <v>127</v>
      </c>
      <c r="AA91" s="245">
        <v>127.5</v>
      </c>
      <c r="AB91" s="245">
        <v>129.6</v>
      </c>
      <c r="AC91" s="245">
        <v>128.6</v>
      </c>
      <c r="AD91" s="245">
        <v>127.7</v>
      </c>
      <c r="AE91" s="245">
        <v>127.8</v>
      </c>
      <c r="AF91" s="245">
        <v>127.9</v>
      </c>
      <c r="AG91" s="272"/>
      <c r="AH91" s="226">
        <f t="shared" si="13"/>
        <v>130.4</v>
      </c>
      <c r="AI91" s="227">
        <f t="shared" si="15"/>
        <v>123.9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</v>
      </c>
      <c r="C92" s="245">
        <v>129</v>
      </c>
      <c r="D92" s="245">
        <v>131.5</v>
      </c>
      <c r="E92" s="245">
        <v>132</v>
      </c>
      <c r="F92" s="245">
        <v>132</v>
      </c>
      <c r="G92" s="245">
        <v>129.9</v>
      </c>
      <c r="H92" s="245">
        <v>127</v>
      </c>
      <c r="I92" s="245">
        <v>129.9</v>
      </c>
      <c r="J92" s="245">
        <v>129.9</v>
      </c>
      <c r="K92" s="245">
        <v>128.69999999999999</v>
      </c>
      <c r="L92" s="245">
        <v>128.30000000000001</v>
      </c>
      <c r="M92" s="245">
        <v>127.5</v>
      </c>
      <c r="N92" s="245">
        <v>128.9</v>
      </c>
      <c r="O92" s="245">
        <v>128.19999999999999</v>
      </c>
      <c r="P92" s="245">
        <v>127.4</v>
      </c>
      <c r="Q92" s="245">
        <v>129.4</v>
      </c>
      <c r="R92" s="245">
        <v>129</v>
      </c>
      <c r="S92" s="245">
        <v>129</v>
      </c>
      <c r="T92" s="245">
        <v>129</v>
      </c>
      <c r="U92" s="245">
        <v>129</v>
      </c>
      <c r="V92" s="245">
        <v>129</v>
      </c>
      <c r="W92" s="245">
        <v>129</v>
      </c>
      <c r="X92" s="245">
        <v>130</v>
      </c>
      <c r="Y92" s="245">
        <v>130</v>
      </c>
      <c r="Z92" s="245">
        <v>130</v>
      </c>
      <c r="AA92" s="245">
        <v>127.5</v>
      </c>
      <c r="AB92" s="245">
        <v>129.5</v>
      </c>
      <c r="AC92" s="245">
        <v>128</v>
      </c>
      <c r="AD92" s="245">
        <v>128.30000000000001</v>
      </c>
      <c r="AE92" s="245">
        <v>129.30000000000001</v>
      </c>
      <c r="AF92" s="245">
        <v>127.5</v>
      </c>
      <c r="AG92" s="272"/>
      <c r="AH92" s="226">
        <f t="shared" si="13"/>
        <v>132</v>
      </c>
      <c r="AI92" s="227">
        <f t="shared" si="15"/>
        <v>127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0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130.69999999999999</v>
      </c>
      <c r="C94" s="274">
        <v>134</v>
      </c>
      <c r="D94" s="274">
        <v>131</v>
      </c>
      <c r="E94" s="274">
        <v>133</v>
      </c>
      <c r="F94" s="274">
        <v>133</v>
      </c>
      <c r="G94" s="274">
        <v>134</v>
      </c>
      <c r="H94" s="274">
        <v>134</v>
      </c>
      <c r="I94" s="274">
        <v>134</v>
      </c>
      <c r="J94" s="274">
        <v>132.6</v>
      </c>
      <c r="K94" s="274">
        <v>134</v>
      </c>
      <c r="L94" s="274">
        <v>134.9</v>
      </c>
      <c r="M94" s="274">
        <v>133.5</v>
      </c>
      <c r="N94" s="274">
        <v>131.9</v>
      </c>
      <c r="O94" s="274">
        <v>134.30000000000001</v>
      </c>
      <c r="P94" s="274">
        <v>131.9</v>
      </c>
      <c r="Q94" s="274">
        <v>131.6</v>
      </c>
      <c r="R94" s="274">
        <v>136.19999999999999</v>
      </c>
      <c r="S94" s="274">
        <v>136.19999999999999</v>
      </c>
      <c r="T94" s="274">
        <v>130</v>
      </c>
      <c r="U94" s="274">
        <v>130</v>
      </c>
      <c r="V94" s="274">
        <v>134</v>
      </c>
      <c r="W94" s="274">
        <v>134</v>
      </c>
      <c r="X94" s="274">
        <v>134</v>
      </c>
      <c r="Y94" s="274">
        <v>134</v>
      </c>
      <c r="Z94" s="274">
        <v>134</v>
      </c>
      <c r="AA94" s="274">
        <v>130.5</v>
      </c>
      <c r="AB94" s="274">
        <v>134.5</v>
      </c>
      <c r="AC94" s="274">
        <v>133.19999999999999</v>
      </c>
      <c r="AD94" s="274">
        <v>134.30000000000001</v>
      </c>
      <c r="AE94" s="274">
        <v>130.1</v>
      </c>
      <c r="AF94" s="274">
        <v>133.9</v>
      </c>
      <c r="AG94" s="275"/>
      <c r="AH94" s="226">
        <f t="shared" si="13"/>
        <v>136.19999999999999</v>
      </c>
      <c r="AI94" s="227">
        <f t="shared" si="15"/>
        <v>130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128</v>
      </c>
      <c r="C95" s="245">
        <v>132</v>
      </c>
      <c r="D95" s="245">
        <v>125.9</v>
      </c>
      <c r="E95" s="245">
        <v>129.80000000000001</v>
      </c>
      <c r="F95" s="245">
        <v>129.80000000000001</v>
      </c>
      <c r="G95" s="245">
        <v>134.1</v>
      </c>
      <c r="H95" s="245">
        <v>134.1</v>
      </c>
      <c r="I95" s="245">
        <v>134.1</v>
      </c>
      <c r="J95" s="245">
        <v>132.5</v>
      </c>
      <c r="K95" s="245">
        <v>130.9</v>
      </c>
      <c r="L95" s="245">
        <v>131.19999999999999</v>
      </c>
      <c r="M95" s="245">
        <v>131</v>
      </c>
      <c r="N95" s="245">
        <v>126.9</v>
      </c>
      <c r="O95" s="245">
        <v>130.19999999999999</v>
      </c>
      <c r="P95" s="245">
        <v>129.9</v>
      </c>
      <c r="Q95" s="245">
        <v>128.1</v>
      </c>
      <c r="R95" s="245">
        <v>128.80000000000001</v>
      </c>
      <c r="S95" s="245">
        <v>128.80000000000001</v>
      </c>
      <c r="T95" s="245">
        <v>123</v>
      </c>
      <c r="U95" s="245">
        <v>123</v>
      </c>
      <c r="V95" s="245">
        <v>130</v>
      </c>
      <c r="W95" s="245">
        <v>130</v>
      </c>
      <c r="X95" s="245">
        <v>132</v>
      </c>
      <c r="Y95" s="245">
        <v>132</v>
      </c>
      <c r="Z95" s="245">
        <v>132</v>
      </c>
      <c r="AA95" s="245">
        <v>130.5</v>
      </c>
      <c r="AB95" s="245">
        <v>130.9</v>
      </c>
      <c r="AC95" s="245">
        <v>130.69999999999999</v>
      </c>
      <c r="AD95" s="245">
        <v>129.4</v>
      </c>
      <c r="AE95" s="245">
        <v>130.30000000000001</v>
      </c>
      <c r="AF95" s="245">
        <v>127.7</v>
      </c>
      <c r="AG95" s="272"/>
      <c r="AH95" s="226">
        <f t="shared" si="13"/>
        <v>134.1</v>
      </c>
      <c r="AI95" s="227">
        <f t="shared" si="15"/>
        <v>123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64.900000000000006</v>
      </c>
      <c r="C96" s="276">
        <v>64.8</v>
      </c>
      <c r="D96" s="276">
        <v>65.2</v>
      </c>
      <c r="E96" s="276">
        <v>66</v>
      </c>
      <c r="F96" s="276">
        <v>66</v>
      </c>
      <c r="G96" s="276">
        <v>65.8</v>
      </c>
      <c r="H96" s="276">
        <v>65</v>
      </c>
      <c r="I96" s="276">
        <v>65.8</v>
      </c>
      <c r="J96" s="276">
        <v>64.400000000000006</v>
      </c>
      <c r="K96" s="276">
        <v>64.400000000000006</v>
      </c>
      <c r="L96" s="276">
        <v>63.6</v>
      </c>
      <c r="M96" s="276">
        <v>63.5</v>
      </c>
      <c r="N96" s="276">
        <v>63.2</v>
      </c>
      <c r="O96" s="276">
        <v>62.4</v>
      </c>
      <c r="P96" s="276">
        <v>62.5</v>
      </c>
      <c r="Q96" s="276">
        <v>62.5</v>
      </c>
      <c r="R96" s="276">
        <v>63.1</v>
      </c>
      <c r="S96" s="276">
        <v>63.1</v>
      </c>
      <c r="T96" s="276">
        <v>63</v>
      </c>
      <c r="U96" s="276">
        <v>63</v>
      </c>
      <c r="V96" s="276">
        <v>63.4</v>
      </c>
      <c r="W96" s="276">
        <v>63.4</v>
      </c>
      <c r="X96" s="276">
        <v>64</v>
      </c>
      <c r="Y96" s="276">
        <v>64</v>
      </c>
      <c r="Z96" s="276">
        <v>64</v>
      </c>
      <c r="AA96" s="276">
        <v>64.599999999999994</v>
      </c>
      <c r="AB96" s="276">
        <v>65.8</v>
      </c>
      <c r="AC96" s="276">
        <v>65.2</v>
      </c>
      <c r="AD96" s="276">
        <v>64.8</v>
      </c>
      <c r="AE96" s="276">
        <v>64.8</v>
      </c>
      <c r="AF96" s="276">
        <v>64.900000000000006</v>
      </c>
      <c r="AG96" s="277"/>
      <c r="AH96" s="226">
        <f t="shared" si="13"/>
        <v>66</v>
      </c>
      <c r="AI96" s="227">
        <f t="shared" si="15"/>
        <v>62.4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 t="s">
        <v>249</v>
      </c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v>191.00000000000003</v>
      </c>
      <c r="C98" s="280">
        <f t="shared" ref="C98:AF98" si="22">SUM(C15,C18,C21:C22,C46,C48:C49,C51,C53,C99:C102,C124,C130,C136,C145,C147,C159,C166,C169:C170,C177,C179,C181,C185:C187,C189:C191,C196,C202:C203,C205:C207,C215,C220)</f>
        <v>39.040000000000006</v>
      </c>
      <c r="D98" s="280">
        <f t="shared" si="22"/>
        <v>41.54</v>
      </c>
      <c r="E98" s="280">
        <f t="shared" si="22"/>
        <v>50.640000000000008</v>
      </c>
      <c r="F98" s="280">
        <f t="shared" si="22"/>
        <v>31.640000000000011</v>
      </c>
      <c r="G98" s="280">
        <f t="shared" si="22"/>
        <v>47.84</v>
      </c>
      <c r="H98" s="280">
        <f t="shared" si="22"/>
        <v>49.64</v>
      </c>
      <c r="I98" s="280">
        <f t="shared" si="22"/>
        <v>88.640000000000015</v>
      </c>
      <c r="J98" s="280">
        <f t="shared" si="22"/>
        <v>115.04</v>
      </c>
      <c r="K98" s="280">
        <f t="shared" si="22"/>
        <v>137.04000000000002</v>
      </c>
      <c r="L98" s="280">
        <f t="shared" si="22"/>
        <v>157.54000000000002</v>
      </c>
      <c r="M98" s="280">
        <f t="shared" si="22"/>
        <v>199.74</v>
      </c>
      <c r="N98" s="280">
        <f t="shared" si="22"/>
        <v>170.64</v>
      </c>
      <c r="O98" s="280">
        <f t="shared" si="22"/>
        <v>199.24</v>
      </c>
      <c r="P98" s="280">
        <f t="shared" si="22"/>
        <v>193.14000000000001</v>
      </c>
      <c r="Q98" s="280">
        <f t="shared" si="22"/>
        <v>215.3</v>
      </c>
      <c r="R98" s="280">
        <f t="shared" si="22"/>
        <v>162.10000000000002</v>
      </c>
      <c r="S98" s="280">
        <f t="shared" si="22"/>
        <v>180.20000000000002</v>
      </c>
      <c r="T98" s="280">
        <f t="shared" si="22"/>
        <v>230.8</v>
      </c>
      <c r="U98" s="280">
        <f t="shared" si="22"/>
        <v>232.8</v>
      </c>
      <c r="V98" s="280">
        <f t="shared" si="22"/>
        <v>223.8</v>
      </c>
      <c r="W98" s="280">
        <f t="shared" si="22"/>
        <v>219.8</v>
      </c>
      <c r="X98" s="280">
        <f t="shared" si="22"/>
        <v>205.3</v>
      </c>
      <c r="Y98" s="280">
        <f t="shared" si="22"/>
        <v>239.3</v>
      </c>
      <c r="Z98" s="280">
        <f t="shared" si="22"/>
        <v>279.70000000000005</v>
      </c>
      <c r="AA98" s="280">
        <v>345.29708333333332</v>
      </c>
      <c r="AB98" s="280">
        <f t="shared" si="22"/>
        <v>222.2</v>
      </c>
      <c r="AC98" s="280">
        <f t="shared" si="22"/>
        <v>198.49999999999994</v>
      </c>
      <c r="AD98" s="280">
        <f t="shared" si="22"/>
        <v>166.59999999999997</v>
      </c>
      <c r="AE98" s="280">
        <f t="shared" si="22"/>
        <v>104.89999999999996</v>
      </c>
      <c r="AF98" s="280">
        <f t="shared" si="22"/>
        <v>81.099999999999952</v>
      </c>
      <c r="AG98" s="281"/>
      <c r="AH98" s="226">
        <f>MAX(C98:AF98)</f>
        <v>345.29708333333332</v>
      </c>
      <c r="AI98" s="227">
        <f>MIN(C98:AF98)</f>
        <v>31.640000000000011</v>
      </c>
    </row>
    <row r="99" spans="1:37" x14ac:dyDescent="0.25">
      <c r="A99" s="268" t="s">
        <v>103</v>
      </c>
      <c r="B99" s="282">
        <v>18</v>
      </c>
      <c r="C99" s="282">
        <v>12</v>
      </c>
      <c r="D99" s="282">
        <v>7.7</v>
      </c>
      <c r="E99" s="282">
        <v>3.8</v>
      </c>
      <c r="F99" s="282">
        <v>4.8</v>
      </c>
      <c r="G99" s="282">
        <v>14.3</v>
      </c>
      <c r="H99" s="282">
        <v>15.3</v>
      </c>
      <c r="I99" s="282">
        <v>16.3</v>
      </c>
      <c r="J99" s="282">
        <v>23</v>
      </c>
      <c r="K99" s="282">
        <v>31.9</v>
      </c>
      <c r="L99" s="282">
        <v>38.5</v>
      </c>
      <c r="M99" s="282">
        <v>31.4</v>
      </c>
      <c r="N99" s="282">
        <v>32</v>
      </c>
      <c r="O99" s="282">
        <v>21.1</v>
      </c>
      <c r="P99" s="282">
        <v>29.5</v>
      </c>
      <c r="Q99" s="282">
        <f>33.3+21.3</f>
        <v>54.599999999999994</v>
      </c>
      <c r="R99" s="282">
        <v>27.3</v>
      </c>
      <c r="S99" s="282">
        <v>23.9</v>
      </c>
      <c r="T99" s="282">
        <f>28+43</f>
        <v>71</v>
      </c>
      <c r="U99" s="282">
        <f>38+25</f>
        <v>63</v>
      </c>
      <c r="V99" s="282">
        <f>40+27</f>
        <v>67</v>
      </c>
      <c r="W99" s="282">
        <f>43+28</f>
        <v>71</v>
      </c>
      <c r="X99" s="282">
        <v>77</v>
      </c>
      <c r="Y99" s="282">
        <v>79</v>
      </c>
      <c r="Z99" s="282">
        <f>44.6+28.8</f>
        <v>73.400000000000006</v>
      </c>
      <c r="AA99" s="282">
        <v>63</v>
      </c>
      <c r="AB99" s="282">
        <v>24.5</v>
      </c>
      <c r="AC99" s="282">
        <v>25</v>
      </c>
      <c r="AD99" s="282">
        <v>27.5</v>
      </c>
      <c r="AE99" s="282">
        <v>28.6</v>
      </c>
      <c r="AF99" s="282">
        <v>27.2</v>
      </c>
      <c r="AG99" s="283">
        <v>75</v>
      </c>
      <c r="AH99" s="226">
        <f t="shared" ref="AH99:AH106" si="23">IF(ABS(MAX(C99:AF99))&gt;ABS(MIN(C99:AF99)),MAX(C99:AF99),MIN(C99:AF99))</f>
        <v>79</v>
      </c>
      <c r="AI99" s="284">
        <f t="shared" ref="AI99:AI106" si="24">INDEX($C$9:$AF$9,1,MATCH(AH99,C99:AF99,0))</f>
        <v>0.77083333333333337</v>
      </c>
    </row>
    <row r="100" spans="1:37" x14ac:dyDescent="0.25">
      <c r="A100" s="271" t="s">
        <v>104</v>
      </c>
      <c r="B100" s="285">
        <v>-149</v>
      </c>
      <c r="C100" s="285">
        <v>-148</v>
      </c>
      <c r="D100" s="285">
        <f>-68.8-74.8</f>
        <v>-143.6</v>
      </c>
      <c r="E100" s="285">
        <f>-64-68.4</f>
        <v>-132.4</v>
      </c>
      <c r="F100" s="285">
        <f>-64-68.4</f>
        <v>-132.4</v>
      </c>
      <c r="G100" s="285">
        <f>-60.9-65.9</f>
        <v>-126.80000000000001</v>
      </c>
      <c r="H100" s="285">
        <f>-60.9-65.9</f>
        <v>-126.80000000000001</v>
      </c>
      <c r="I100" s="285">
        <v>-92.8</v>
      </c>
      <c r="J100" s="285">
        <v>-80.8</v>
      </c>
      <c r="K100" s="285">
        <f>-36.6-40.1</f>
        <v>-76.7</v>
      </c>
      <c r="L100" s="285">
        <f>-48.2-51.4</f>
        <v>-99.6</v>
      </c>
      <c r="M100" s="285">
        <v>-82</v>
      </c>
      <c r="N100" s="285">
        <v>-97</v>
      </c>
      <c r="O100" s="285">
        <v>-85</v>
      </c>
      <c r="P100" s="285">
        <v>-95</v>
      </c>
      <c r="Q100" s="285">
        <f>-39.8-43.8</f>
        <v>-83.6</v>
      </c>
      <c r="R100" s="285">
        <v>-92</v>
      </c>
      <c r="S100" s="285">
        <v>-87</v>
      </c>
      <c r="T100" s="285">
        <v>-84</v>
      </c>
      <c r="U100" s="285">
        <v>-79</v>
      </c>
      <c r="V100" s="285">
        <v>-84</v>
      </c>
      <c r="W100" s="285">
        <v>-85</v>
      </c>
      <c r="X100" s="285">
        <v>-87</v>
      </c>
      <c r="Y100" s="285">
        <v>-78</v>
      </c>
      <c r="Z100" s="285">
        <v>-65</v>
      </c>
      <c r="AA100" s="285">
        <v>-44</v>
      </c>
      <c r="AB100" s="285">
        <v>-36.799999999999997</v>
      </c>
      <c r="AC100" s="285">
        <v>-48.2</v>
      </c>
      <c r="AD100" s="285">
        <v>-77.3</v>
      </c>
      <c r="AE100" s="285">
        <v>-119.2</v>
      </c>
      <c r="AF100" s="285">
        <v>-114.9</v>
      </c>
      <c r="AG100" s="283">
        <v>240</v>
      </c>
      <c r="AH100" s="226">
        <f t="shared" si="23"/>
        <v>-148</v>
      </c>
      <c r="AI100" s="284">
        <f t="shared" si="24"/>
        <v>4.1666666666666664E-2</v>
      </c>
    </row>
    <row r="101" spans="1:37" x14ac:dyDescent="0.25">
      <c r="A101" s="271" t="s">
        <v>105</v>
      </c>
      <c r="B101" s="285">
        <v>-7.7</v>
      </c>
      <c r="C101" s="285">
        <v>-7.3</v>
      </c>
      <c r="D101" s="285">
        <v>-4.9000000000000004</v>
      </c>
      <c r="E101" s="285">
        <v>-3.1</v>
      </c>
      <c r="F101" s="285">
        <v>-3.1</v>
      </c>
      <c r="G101" s="285">
        <v>-2</v>
      </c>
      <c r="H101" s="285">
        <v>-1.2</v>
      </c>
      <c r="I101" s="285">
        <v>2.8</v>
      </c>
      <c r="J101" s="285">
        <v>10.5</v>
      </c>
      <c r="K101" s="285">
        <v>12.8</v>
      </c>
      <c r="L101" s="285">
        <v>9.5</v>
      </c>
      <c r="M101" s="285">
        <v>10</v>
      </c>
      <c r="N101" s="285">
        <v>8.5</v>
      </c>
      <c r="O101" s="285">
        <v>12.7</v>
      </c>
      <c r="P101" s="285">
        <v>11.8</v>
      </c>
      <c r="Q101" s="285">
        <v>7.8</v>
      </c>
      <c r="R101" s="285">
        <v>6.4</v>
      </c>
      <c r="S101" s="285">
        <v>8.3000000000000007</v>
      </c>
      <c r="T101" s="285">
        <v>11</v>
      </c>
      <c r="U101" s="285">
        <v>11</v>
      </c>
      <c r="V101" s="285">
        <v>10</v>
      </c>
      <c r="W101" s="285">
        <v>13</v>
      </c>
      <c r="X101" s="285">
        <v>13</v>
      </c>
      <c r="Y101" s="285">
        <v>15</v>
      </c>
      <c r="Z101" s="285">
        <v>35</v>
      </c>
      <c r="AA101" s="285">
        <v>51</v>
      </c>
      <c r="AB101" s="285">
        <v>25.7</v>
      </c>
      <c r="AC101" s="285">
        <v>29.7</v>
      </c>
      <c r="AD101" s="285">
        <v>24.7</v>
      </c>
      <c r="AE101" s="285">
        <v>16.5</v>
      </c>
      <c r="AF101" s="285">
        <v>1.8</v>
      </c>
      <c r="AG101" s="283">
        <v>60</v>
      </c>
      <c r="AH101" s="226">
        <f t="shared" si="23"/>
        <v>51</v>
      </c>
      <c r="AI101" s="284">
        <f t="shared" si="24"/>
        <v>0.8125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31.8</v>
      </c>
      <c r="M102" s="287">
        <v>56</v>
      </c>
      <c r="N102" s="287">
        <v>44.8</v>
      </c>
      <c r="O102" s="287">
        <v>66.2</v>
      </c>
      <c r="P102" s="287">
        <v>57.6</v>
      </c>
      <c r="Q102" s="287">
        <v>69.7</v>
      </c>
      <c r="R102" s="287">
        <v>53.6</v>
      </c>
      <c r="S102" s="287">
        <v>64.2</v>
      </c>
      <c r="T102" s="287">
        <v>62</v>
      </c>
      <c r="U102" s="287">
        <v>62</v>
      </c>
      <c r="V102" s="287">
        <v>55</v>
      </c>
      <c r="W102" s="287">
        <v>45</v>
      </c>
      <c r="X102" s="287">
        <v>39</v>
      </c>
      <c r="Y102" s="287">
        <v>50</v>
      </c>
      <c r="Z102" s="287">
        <v>63</v>
      </c>
      <c r="AA102" s="287">
        <v>40</v>
      </c>
      <c r="AB102" s="287">
        <v>16.8</v>
      </c>
      <c r="AC102" s="287">
        <v>0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69.7</v>
      </c>
      <c r="AI102" s="284">
        <f t="shared" si="24"/>
        <v>0.5</v>
      </c>
    </row>
    <row r="103" spans="1:37" x14ac:dyDescent="0.25">
      <c r="A103" s="286" t="s">
        <v>107</v>
      </c>
      <c r="B103" s="287">
        <v>35</v>
      </c>
      <c r="C103" s="287">
        <v>42.3</v>
      </c>
      <c r="D103" s="287">
        <v>42.3</v>
      </c>
      <c r="E103" s="287">
        <v>44</v>
      </c>
      <c r="F103" s="287">
        <v>44</v>
      </c>
      <c r="G103" s="287">
        <v>41.1</v>
      </c>
      <c r="H103" s="287">
        <v>41.1</v>
      </c>
      <c r="I103" s="287">
        <v>41.1</v>
      </c>
      <c r="J103" s="287">
        <v>41.1</v>
      </c>
      <c r="K103" s="287">
        <v>59</v>
      </c>
      <c r="L103" s="287">
        <v>35.9</v>
      </c>
      <c r="M103" s="287">
        <v>50.8</v>
      </c>
      <c r="N103" s="287">
        <v>50.8</v>
      </c>
      <c r="O103" s="287">
        <v>74</v>
      </c>
      <c r="P103" s="287">
        <v>63.2</v>
      </c>
      <c r="Q103" s="287">
        <v>71.5</v>
      </c>
      <c r="R103" s="287">
        <v>60.8</v>
      </c>
      <c r="S103" s="287">
        <v>69.900000000000006</v>
      </c>
      <c r="T103" s="287">
        <v>70</v>
      </c>
      <c r="U103" s="287">
        <v>70</v>
      </c>
      <c r="V103" s="287">
        <v>59</v>
      </c>
      <c r="W103" s="287">
        <v>47</v>
      </c>
      <c r="X103" s="287">
        <v>39</v>
      </c>
      <c r="Y103" s="287">
        <v>44</v>
      </c>
      <c r="Z103" s="287">
        <v>50</v>
      </c>
      <c r="AA103" s="287">
        <v>52</v>
      </c>
      <c r="AB103" s="287">
        <v>81.5</v>
      </c>
      <c r="AC103" s="287">
        <v>80.400000000000006</v>
      </c>
      <c r="AD103" s="287">
        <v>57</v>
      </c>
      <c r="AE103" s="287">
        <v>24.1</v>
      </c>
      <c r="AF103" s="287">
        <v>38.700000000000003</v>
      </c>
      <c r="AG103" s="288"/>
      <c r="AH103" s="226">
        <f t="shared" si="23"/>
        <v>81.5</v>
      </c>
      <c r="AI103" s="284">
        <f t="shared" si="24"/>
        <v>0.83333333333333337</v>
      </c>
    </row>
    <row r="104" spans="1:37" x14ac:dyDescent="0.25">
      <c r="A104" s="286" t="s">
        <v>108</v>
      </c>
      <c r="B104" s="287">
        <v>44.5</v>
      </c>
      <c r="C104" s="287">
        <v>66</v>
      </c>
      <c r="D104" s="287">
        <v>66</v>
      </c>
      <c r="E104" s="287">
        <v>77.3</v>
      </c>
      <c r="F104" s="287">
        <v>77.3</v>
      </c>
      <c r="G104" s="287">
        <v>43.4</v>
      </c>
      <c r="H104" s="287">
        <v>43.4</v>
      </c>
      <c r="I104" s="287">
        <v>24</v>
      </c>
      <c r="J104" s="287">
        <v>10.199999999999999</v>
      </c>
      <c r="K104" s="287">
        <v>-14</v>
      </c>
      <c r="L104" s="287">
        <v>-19</v>
      </c>
      <c r="M104" s="287">
        <v>-13.4</v>
      </c>
      <c r="N104" s="287">
        <v>-4.5999999999999996</v>
      </c>
      <c r="O104" s="287">
        <v>28.5</v>
      </c>
      <c r="P104" s="287">
        <v>4</v>
      </c>
      <c r="Q104" s="287">
        <v>20.9</v>
      </c>
      <c r="R104" s="287">
        <v>-4.8</v>
      </c>
      <c r="S104" s="287">
        <v>-9.3000000000000007</v>
      </c>
      <c r="T104" s="287">
        <v>0</v>
      </c>
      <c r="U104" s="287">
        <v>0</v>
      </c>
      <c r="V104" s="287">
        <v>5.5</v>
      </c>
      <c r="W104" s="287">
        <v>0</v>
      </c>
      <c r="X104" s="287">
        <v>-15</v>
      </c>
      <c r="Y104" s="287">
        <v>4</v>
      </c>
      <c r="Z104" s="287">
        <v>14</v>
      </c>
      <c r="AA104" s="287">
        <v>27</v>
      </c>
      <c r="AB104" s="287">
        <v>31.8</v>
      </c>
      <c r="AC104" s="287">
        <v>28.7</v>
      </c>
      <c r="AD104" s="287">
        <v>18</v>
      </c>
      <c r="AE104" s="287">
        <v>4.4000000000000004</v>
      </c>
      <c r="AF104" s="287">
        <v>15</v>
      </c>
      <c r="AG104" s="289"/>
      <c r="AH104" s="226">
        <f t="shared" si="23"/>
        <v>77.3</v>
      </c>
      <c r="AI104" s="284">
        <f t="shared" si="24"/>
        <v>0.125</v>
      </c>
    </row>
    <row r="105" spans="1:37" x14ac:dyDescent="0.25">
      <c r="A105" s="290" t="s">
        <v>109</v>
      </c>
      <c r="B105" s="274">
        <v>99.4</v>
      </c>
      <c r="C105" s="274">
        <v>107</v>
      </c>
      <c r="D105" s="274">
        <v>107</v>
      </c>
      <c r="E105" s="274">
        <v>112.1</v>
      </c>
      <c r="F105" s="274">
        <v>112.1</v>
      </c>
      <c r="G105" s="274">
        <v>113.2</v>
      </c>
      <c r="H105" s="274">
        <v>113.2</v>
      </c>
      <c r="I105" s="274">
        <v>113.2</v>
      </c>
      <c r="J105" s="274">
        <v>113.2</v>
      </c>
      <c r="K105" s="274">
        <v>104</v>
      </c>
      <c r="L105" s="274">
        <v>95.2</v>
      </c>
      <c r="M105" s="274">
        <v>94.1</v>
      </c>
      <c r="N105" s="274">
        <v>90.6</v>
      </c>
      <c r="O105" s="274">
        <v>92.6</v>
      </c>
      <c r="P105" s="274">
        <v>89.5</v>
      </c>
      <c r="Q105" s="274">
        <v>92</v>
      </c>
      <c r="R105" s="274">
        <v>95.7</v>
      </c>
      <c r="S105" s="274">
        <v>94.3</v>
      </c>
      <c r="T105" s="274">
        <v>90</v>
      </c>
      <c r="U105" s="274">
        <v>90</v>
      </c>
      <c r="V105" s="274">
        <v>90</v>
      </c>
      <c r="W105" s="274">
        <v>80</v>
      </c>
      <c r="X105" s="274">
        <v>72</v>
      </c>
      <c r="Y105" s="274">
        <v>54</v>
      </c>
      <c r="Z105" s="274">
        <v>56</v>
      </c>
      <c r="AA105" s="274">
        <v>70</v>
      </c>
      <c r="AB105" s="274">
        <v>62.6</v>
      </c>
      <c r="AC105" s="274">
        <v>66.2</v>
      </c>
      <c r="AD105" s="274">
        <v>67.3</v>
      </c>
      <c r="AE105" s="274">
        <v>66.900000000000006</v>
      </c>
      <c r="AF105" s="274">
        <v>77.599999999999994</v>
      </c>
      <c r="AG105" s="289"/>
      <c r="AH105" s="226">
        <f t="shared" si="23"/>
        <v>113.2</v>
      </c>
      <c r="AI105" s="284">
        <f t="shared" si="24"/>
        <v>0.20833333333333301</v>
      </c>
    </row>
    <row r="106" spans="1:37" ht="15.75" thickBot="1" x14ac:dyDescent="0.3">
      <c r="A106" s="290" t="s">
        <v>110</v>
      </c>
      <c r="B106" s="274">
        <v>94.3</v>
      </c>
      <c r="C106" s="274">
        <v>91</v>
      </c>
      <c r="D106" s="274">
        <v>88</v>
      </c>
      <c r="E106" s="274">
        <v>77</v>
      </c>
      <c r="F106" s="274">
        <v>77</v>
      </c>
      <c r="G106" s="274">
        <v>79.900000000000006</v>
      </c>
      <c r="H106" s="274">
        <v>77.599999999999994</v>
      </c>
      <c r="I106" s="274">
        <v>64</v>
      </c>
      <c r="J106" s="274">
        <v>52.5</v>
      </c>
      <c r="K106" s="274">
        <v>53.4</v>
      </c>
      <c r="L106" s="274">
        <v>70.7</v>
      </c>
      <c r="M106" s="274">
        <v>55.5</v>
      </c>
      <c r="N106" s="274">
        <v>65.7</v>
      </c>
      <c r="O106" s="274">
        <v>50.6</v>
      </c>
      <c r="P106" s="274">
        <v>58.3</v>
      </c>
      <c r="Q106" s="274">
        <v>46.7</v>
      </c>
      <c r="R106" s="274">
        <v>57.7</v>
      </c>
      <c r="S106" s="274">
        <v>51.3</v>
      </c>
      <c r="T106" s="274">
        <v>53</v>
      </c>
      <c r="U106" s="274">
        <v>53</v>
      </c>
      <c r="V106" s="274">
        <v>49</v>
      </c>
      <c r="W106" s="274">
        <v>52</v>
      </c>
      <c r="X106" s="274">
        <v>57</v>
      </c>
      <c r="Y106" s="274">
        <v>49</v>
      </c>
      <c r="Z106" s="274">
        <v>52</v>
      </c>
      <c r="AA106" s="274"/>
      <c r="AB106" s="274">
        <v>28.9</v>
      </c>
      <c r="AC106" s="274">
        <v>40.6</v>
      </c>
      <c r="AD106" s="274">
        <v>63.9</v>
      </c>
      <c r="AE106" s="274">
        <v>95</v>
      </c>
      <c r="AF106" s="274">
        <v>80.900000000000006</v>
      </c>
      <c r="AG106" s="289"/>
      <c r="AH106" s="226">
        <f t="shared" si="23"/>
        <v>95</v>
      </c>
      <c r="AI106" s="284">
        <f t="shared" si="24"/>
        <v>0.91666666666666696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1823.0400000000002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5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2079/02/5)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2079/02/5)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1816.04</v>
      </c>
      <c r="U235" s="343">
        <f t="shared" si="31"/>
        <v>1757.4399999999998</v>
      </c>
      <c r="V235" s="343">
        <f t="shared" si="31"/>
        <v>1756.74</v>
      </c>
      <c r="W235" s="343">
        <f t="shared" si="31"/>
        <v>1763.3400000000001</v>
      </c>
      <c r="X235" s="343">
        <f t="shared" si="31"/>
        <v>1743.3400000000001</v>
      </c>
      <c r="Y235" s="343">
        <f t="shared" si="31"/>
        <v>1728.64</v>
      </c>
      <c r="Z235" s="343">
        <f t="shared" si="31"/>
        <v>1720.44</v>
      </c>
      <c r="AA235" s="343">
        <f t="shared" si="31"/>
        <v>1723.44</v>
      </c>
      <c r="AB235" s="343">
        <f t="shared" si="31"/>
        <v>1726.44</v>
      </c>
      <c r="AC235" s="343">
        <f t="shared" si="31"/>
        <v>1787.14</v>
      </c>
      <c r="AD235" s="343">
        <f t="shared" si="31"/>
        <v>1805.04</v>
      </c>
      <c r="AE235" s="343">
        <f t="shared" si="31"/>
        <v>1823.0400000000002</v>
      </c>
      <c r="AF235" s="343">
        <f t="shared" si="31"/>
        <v>1759.8400000000001</v>
      </c>
      <c r="AG235" s="343">
        <f t="shared" si="31"/>
        <v>1808.04</v>
      </c>
      <c r="AH235" s="343">
        <f t="shared" si="31"/>
        <v>1849.94</v>
      </c>
      <c r="AI235" s="343">
        <f t="shared" si="31"/>
        <v>1813.74</v>
      </c>
      <c r="AJ235" s="343">
        <f t="shared" si="31"/>
        <v>1813.54</v>
      </c>
      <c r="AK235" s="343">
        <f t="shared" si="31"/>
        <v>1788.1399999999999</v>
      </c>
      <c r="AL235" s="343">
        <f t="shared" si="31"/>
        <v>1781.6399999999999</v>
      </c>
      <c r="AM235" s="343">
        <f t="shared" si="31"/>
        <v>1752.6399999999999</v>
      </c>
      <c r="AN235" s="343">
        <f t="shared" si="31"/>
        <v>1795.6399999999999</v>
      </c>
      <c r="AO235" s="343">
        <f t="shared" si="31"/>
        <v>1760.6399999999999</v>
      </c>
      <c r="AP235" s="343">
        <f t="shared" si="31"/>
        <v>1751.1399999999999</v>
      </c>
      <c r="AQ235" s="343">
        <f t="shared" si="31"/>
        <v>1815.54</v>
      </c>
      <c r="AR235" s="343">
        <f t="shared" si="31"/>
        <v>1823.54</v>
      </c>
      <c r="AS235" s="343">
        <f t="shared" si="31"/>
        <v>1929.14</v>
      </c>
      <c r="AT235" s="343">
        <f t="shared" si="31"/>
        <v>1889.04</v>
      </c>
      <c r="AU235" s="343">
        <f t="shared" si="31"/>
        <v>1898.6399999999999</v>
      </c>
      <c r="AV235" s="343">
        <f t="shared" si="31"/>
        <v>1905.14</v>
      </c>
      <c r="AW235" s="343">
        <f t="shared" si="31"/>
        <v>1876.44</v>
      </c>
      <c r="AX235" s="343">
        <f t="shared" si="31"/>
        <v>1820.4399999999998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7452" priority="233">
      <formula>B$9&gt;=20/24</formula>
    </cfRule>
    <cfRule type="expression" dxfId="7451" priority="234">
      <formula>AND(B$9&gt;=14/24,B$9&lt;20/24)</formula>
    </cfRule>
    <cfRule type="expression" dxfId="7450" priority="235">
      <formula>AND(B$9&gt;=8/24,B$9&lt;14/24)</formula>
    </cfRule>
    <cfRule type="expression" dxfId="7449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7448" priority="228">
      <formula>S$9&gt;=20/24</formula>
    </cfRule>
    <cfRule type="expression" dxfId="7447" priority="229">
      <formula>AND(S$9&gt;=14/24,S$9&lt;20/24)</formula>
    </cfRule>
    <cfRule type="expression" dxfId="7446" priority="230">
      <formula>AND(S$9&gt;=8/24,S$9&lt;14/24)</formula>
    </cfRule>
    <cfRule type="expression" dxfId="7445" priority="231">
      <formula>S$9&lt;8/24</formula>
    </cfRule>
  </conditionalFormatting>
  <conditionalFormatting sqref="AG55 S37:AF37 B12:Z16 B35:AF35 AA11:AF16">
    <cfRule type="expression" dxfId="7444" priority="227">
      <formula>B11&gt;$AG11</formula>
    </cfRule>
  </conditionalFormatting>
  <conditionalFormatting sqref="A89:A102 A11:A14 A49:A76 A85:A87 A191:A221 A16:A30 A36:A47 A107:A178 A32:A33 A81:A83 A78:A79">
    <cfRule type="expression" dxfId="7443" priority="226">
      <formula>$AH11=0</formula>
    </cfRule>
  </conditionalFormatting>
  <conditionalFormatting sqref="A103">
    <cfRule type="expression" dxfId="7442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441" priority="223">
      <formula>$AH35=0</formula>
    </cfRule>
  </conditionalFormatting>
  <conditionalFormatting sqref="A88">
    <cfRule type="expression" dxfId="7440" priority="222">
      <formula>$AH88=0</formula>
    </cfRule>
  </conditionalFormatting>
  <conditionalFormatting sqref="A15">
    <cfRule type="expression" dxfId="7439" priority="221">
      <formula>$AH15=0</formula>
    </cfRule>
  </conditionalFormatting>
  <conditionalFormatting sqref="A185:A190">
    <cfRule type="expression" dxfId="7438" priority="220">
      <formula>$AH185=0</formula>
    </cfRule>
  </conditionalFormatting>
  <conditionalFormatting sqref="A179:A184">
    <cfRule type="expression" dxfId="7437" priority="219">
      <formula>$AH179=0</formula>
    </cfRule>
  </conditionalFormatting>
  <conditionalFormatting sqref="A48">
    <cfRule type="expression" dxfId="7436" priority="218">
      <formula>$AH48=0</formula>
    </cfRule>
  </conditionalFormatting>
  <conditionalFormatting sqref="A84">
    <cfRule type="expression" dxfId="7435" priority="217">
      <formula>$AH84=0</formula>
    </cfRule>
  </conditionalFormatting>
  <conditionalFormatting sqref="C89:AF89">
    <cfRule type="expression" dxfId="7434" priority="213">
      <formula>C$9&gt;=20/24</formula>
    </cfRule>
    <cfRule type="expression" dxfId="7433" priority="214">
      <formula>AND(C$9&gt;=14/24,C$9&lt;20/24)</formula>
    </cfRule>
    <cfRule type="expression" dxfId="7432" priority="215">
      <formula>AND(C$9&gt;=8/24,C$9&lt;14/24)</formula>
    </cfRule>
    <cfRule type="expression" dxfId="7431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430" priority="239">
      <formula>C$9&gt;=20/24</formula>
    </cfRule>
    <cfRule type="expression" dxfId="7429" priority="240">
      <formula>AND(C$9&gt;=14/24,C$9&lt;20/24)</formula>
    </cfRule>
    <cfRule type="expression" dxfId="7428" priority="241">
      <formula>AND(C$9&gt;=8/24,C$9&lt;14/24)</formula>
    </cfRule>
    <cfRule type="expression" dxfId="7427" priority="242">
      <formula>C$9&lt;8/24</formula>
    </cfRule>
  </conditionalFormatting>
  <conditionalFormatting sqref="A222">
    <cfRule type="expression" dxfId="7426" priority="243">
      <formula>$AH222=0</formula>
    </cfRule>
  </conditionalFormatting>
  <conditionalFormatting sqref="AG234">
    <cfRule type="expression" dxfId="7425" priority="244">
      <formula>B$9&gt;=20/24</formula>
    </cfRule>
    <cfRule type="expression" dxfId="7424" priority="245">
      <formula>AND(B$9&gt;=14/24,B$9&lt;20/24)</formula>
    </cfRule>
    <cfRule type="expression" dxfId="7423" priority="246">
      <formula>AND(B$9&gt;=8/24,B$9&lt;14/24)</formula>
    </cfRule>
    <cfRule type="expression" dxfId="7422" priority="247">
      <formula>B$9&lt;8/24</formula>
    </cfRule>
  </conditionalFormatting>
  <conditionalFormatting sqref="S8">
    <cfRule type="expression" dxfId="7421" priority="208">
      <formula>U$9&gt;=20/24</formula>
    </cfRule>
    <cfRule type="expression" dxfId="7420" priority="209">
      <formula>AND(U$9&gt;=14/24,U$9&lt;20/24)</formula>
    </cfRule>
    <cfRule type="expression" dxfId="7419" priority="210">
      <formula>AND(U$9&gt;=8/24,U$9&lt;14/24)</formula>
    </cfRule>
    <cfRule type="expression" dxfId="7418" priority="211">
      <formula>U$9&lt;8/24</formula>
    </cfRule>
  </conditionalFormatting>
  <conditionalFormatting sqref="AB8">
    <cfRule type="expression" dxfId="7417" priority="204">
      <formula>AD$9&gt;=20/24</formula>
    </cfRule>
    <cfRule type="expression" dxfId="7416" priority="205">
      <formula>AND(AD$9&gt;=14/24,AD$9&lt;20/24)</formula>
    </cfRule>
    <cfRule type="expression" dxfId="7415" priority="206">
      <formula>AND(AD$9&gt;=8/24,AD$9&lt;14/24)</formula>
    </cfRule>
    <cfRule type="expression" dxfId="7414" priority="207">
      <formula>AD$9&lt;8/24</formula>
    </cfRule>
  </conditionalFormatting>
  <conditionalFormatting sqref="AH234:AX234">
    <cfRule type="expression" dxfId="7413" priority="248">
      <formula>AG$9&gt;=20/24</formula>
    </cfRule>
    <cfRule type="expression" dxfId="7412" priority="249">
      <formula>AND(AG$9&gt;=14/24,AG$9&lt;20/24)</formula>
    </cfRule>
    <cfRule type="expression" dxfId="7411" priority="250">
      <formula>AND(AG$9&gt;=8/24,AG$9&lt;14/24)</formula>
    </cfRule>
    <cfRule type="expression" dxfId="7410" priority="251">
      <formula>AG$9&lt;8/24</formula>
    </cfRule>
  </conditionalFormatting>
  <conditionalFormatting sqref="T234">
    <cfRule type="expression" dxfId="7409" priority="252">
      <formula>AX$9&gt;=20/24</formula>
    </cfRule>
    <cfRule type="expression" dxfId="7408" priority="253">
      <formula>AND(AX$9&gt;=14/24,AX$9&lt;20/24)</formula>
    </cfRule>
    <cfRule type="expression" dxfId="7407" priority="254">
      <formula>AND(AX$9&gt;=8/24,AX$9&lt;14/24)</formula>
    </cfRule>
    <cfRule type="expression" dxfId="7406" priority="255">
      <formula>AX$9&lt;8/24</formula>
    </cfRule>
  </conditionalFormatting>
  <conditionalFormatting sqref="A104:A105">
    <cfRule type="expression" dxfId="7405" priority="203">
      <formula>$AH104=0</formula>
    </cfRule>
  </conditionalFormatting>
  <conditionalFormatting sqref="AA44:AF45 C61:AF61 AA36:AF36">
    <cfRule type="expression" dxfId="7404" priority="199">
      <formula>C$9&gt;=20/24</formula>
    </cfRule>
    <cfRule type="expression" dxfId="7403" priority="200">
      <formula>AND(C$9&gt;=14/24,C$9&lt;20/24)</formula>
    </cfRule>
    <cfRule type="expression" dxfId="7402" priority="201">
      <formula>AND(C$9&gt;=8/24,C$9&lt;14/24)</formula>
    </cfRule>
    <cfRule type="expression" dxfId="7401" priority="202">
      <formula>C$9&lt;8/24</formula>
    </cfRule>
  </conditionalFormatting>
  <conditionalFormatting sqref="Y43:AF43">
    <cfRule type="expression" dxfId="7400" priority="195">
      <formula>Y$9&gt;=20/24</formula>
    </cfRule>
    <cfRule type="expression" dxfId="7399" priority="196">
      <formula>AND(Y$9&gt;=14/24,Y$9&lt;20/24)</formula>
    </cfRule>
    <cfRule type="expression" dxfId="7398" priority="197">
      <formula>AND(Y$9&gt;=8/24,Y$9&lt;14/24)</formula>
    </cfRule>
    <cfRule type="expression" dxfId="7397" priority="198">
      <formula>Y$9&lt;8/24</formula>
    </cfRule>
  </conditionalFormatting>
  <conditionalFormatting sqref="AA43:AF45 Y43:Z43 AA36:AF36">
    <cfRule type="expression" dxfId="7396" priority="194">
      <formula>Y36&gt;$AG36</formula>
    </cfRule>
  </conditionalFormatting>
  <conditionalFormatting sqref="C86:AF86 C76:AF76 M37:R37 C62:R63 C57:AF59 C90:AF96 AA12:AF14 AA16:AF16 AA28:AF30 AA18:AF22 AA24:AF26 AA32:AF32 S62:AF71 E73:AF75">
    <cfRule type="expression" dxfId="7395" priority="190">
      <formula>C$9&gt;=20/24</formula>
    </cfRule>
    <cfRule type="expression" dxfId="7394" priority="191">
      <formula>AND(C$9&gt;=14/24,C$9&lt;20/24)</formula>
    </cfRule>
    <cfRule type="expression" dxfId="7393" priority="192">
      <formula>AND(C$9&gt;=8/24,C$9&lt;14/24)</formula>
    </cfRule>
    <cfRule type="expression" dxfId="7392" priority="193">
      <formula>C$9&lt;8/24</formula>
    </cfRule>
  </conditionalFormatting>
  <conditionalFormatting sqref="AA33:AF33">
    <cfRule type="expression" dxfId="7391" priority="186">
      <formula>AA$9&gt;=20/24</formula>
    </cfRule>
    <cfRule type="expression" dxfId="7390" priority="187">
      <formula>AND(AA$9&gt;=14/24,AA$9&lt;20/24)</formula>
    </cfRule>
    <cfRule type="expression" dxfId="7389" priority="188">
      <formula>AND(AA$9&gt;=8/24,AA$9&lt;14/24)</formula>
    </cfRule>
    <cfRule type="expression" dxfId="7388" priority="189">
      <formula>AA$9&lt;8/24</formula>
    </cfRule>
  </conditionalFormatting>
  <conditionalFormatting sqref="C55:AF55 C37:R37 C57:AF59 AA18:AF22 AA24:AF30 AA32:AF33 AB46:AF47">
    <cfRule type="expression" dxfId="7387" priority="185">
      <formula>C18&gt;$AG18</formula>
    </cfRule>
  </conditionalFormatting>
  <conditionalFormatting sqref="AA35:AF35">
    <cfRule type="expression" dxfId="7386" priority="181">
      <formula>AA$9&gt;=20/24</formula>
    </cfRule>
    <cfRule type="expression" dxfId="7385" priority="182">
      <formula>AND(AA$9&gt;=14/24,AA$9&lt;20/24)</formula>
    </cfRule>
    <cfRule type="expression" dxfId="7384" priority="183">
      <formula>AND(AA$9&gt;=8/24,AA$9&lt;14/24)</formula>
    </cfRule>
    <cfRule type="expression" dxfId="7383" priority="184">
      <formula>AA$9&lt;8/24</formula>
    </cfRule>
  </conditionalFormatting>
  <conditionalFormatting sqref="AA15:AF15">
    <cfRule type="expression" dxfId="7382" priority="177">
      <formula>AA$9&gt;=20/24</formula>
    </cfRule>
    <cfRule type="expression" dxfId="7381" priority="178">
      <formula>AND(AA$9&gt;=14/24,AA$9&lt;20/24)</formula>
    </cfRule>
    <cfRule type="expression" dxfId="7380" priority="179">
      <formula>AND(AA$9&gt;=8/24,AA$9&lt;14/24)</formula>
    </cfRule>
    <cfRule type="expression" dxfId="7379" priority="180">
      <formula>AA$9&lt;8/24</formula>
    </cfRule>
  </conditionalFormatting>
  <conditionalFormatting sqref="AA34:AF34">
    <cfRule type="expression" dxfId="7378" priority="173">
      <formula>AA$9&gt;=20/24</formula>
    </cfRule>
    <cfRule type="expression" dxfId="7377" priority="174">
      <formula>AND(AA$9&gt;=14/24,AA$9&lt;20/24)</formula>
    </cfRule>
    <cfRule type="expression" dxfId="7376" priority="175">
      <formula>AND(AA$9&gt;=8/24,AA$9&lt;14/24)</formula>
    </cfRule>
    <cfRule type="expression" dxfId="7375" priority="176">
      <formula>AA$9&lt;8/24</formula>
    </cfRule>
  </conditionalFormatting>
  <conditionalFormatting sqref="AA34:AF34">
    <cfRule type="expression" dxfId="7374" priority="172">
      <formula>AA34&gt;$AG34</formula>
    </cfRule>
  </conditionalFormatting>
  <conditionalFormatting sqref="AA46:AA47">
    <cfRule type="expression" dxfId="7373" priority="164">
      <formula>AA$9&gt;=20/24</formula>
    </cfRule>
    <cfRule type="expression" dxfId="7372" priority="165">
      <formula>AND(AA$9&gt;=14/24,AA$9&lt;20/24)</formula>
    </cfRule>
    <cfRule type="expression" dxfId="7371" priority="166">
      <formula>AND(AA$9&gt;=8/24,AA$9&lt;14/24)</formula>
    </cfRule>
    <cfRule type="expression" dxfId="7370" priority="167">
      <formula>AA$9&lt;8/24</formula>
    </cfRule>
  </conditionalFormatting>
  <conditionalFormatting sqref="AA46:AA47">
    <cfRule type="expression" dxfId="7369" priority="163">
      <formula>AA46&gt;$AG46</formula>
    </cfRule>
  </conditionalFormatting>
  <conditionalFormatting sqref="Q43:X52 Y44:Z52 Q54:Z54 AA48:AF54">
    <cfRule type="expression" dxfId="7368" priority="159">
      <formula>Q$9&gt;=20/24</formula>
    </cfRule>
    <cfRule type="expression" dxfId="7367" priority="160">
      <formula>AND(Q$9&gt;=14/24,Q$9&lt;20/24)</formula>
    </cfRule>
    <cfRule type="expression" dxfId="7366" priority="161">
      <formula>AND(Q$9&gt;=8/24,Q$9&lt;14/24)</formula>
    </cfRule>
    <cfRule type="expression" dxfId="7365" priority="162">
      <formula>Q$9&lt;8/24</formula>
    </cfRule>
  </conditionalFormatting>
  <conditionalFormatting sqref="Q43:X52 Y44:Z52 Q54:Z54 AA48:AF54">
    <cfRule type="expression" dxfId="7364" priority="158">
      <formula>Q43&gt;$AG43</formula>
    </cfRule>
  </conditionalFormatting>
  <conditionalFormatting sqref="AA27:AF27">
    <cfRule type="expression" dxfId="7363" priority="154">
      <formula>AA$9&gt;=20/24</formula>
    </cfRule>
    <cfRule type="expression" dxfId="7362" priority="155">
      <formula>AND(AA$9&gt;=14/24,AA$9&lt;20/24)</formula>
    </cfRule>
    <cfRule type="expression" dxfId="7361" priority="156">
      <formula>AND(AA$9&gt;=8/24,AA$9&lt;14/24)</formula>
    </cfRule>
    <cfRule type="expression" dxfId="7360" priority="157">
      <formula>AA$9&lt;8/24</formula>
    </cfRule>
  </conditionalFormatting>
  <conditionalFormatting sqref="AA17:AF17 AA23:AF23">
    <cfRule type="expression" dxfId="7359" priority="150">
      <formula>AA$9&gt;=20/24</formula>
    </cfRule>
    <cfRule type="expression" dxfId="7358" priority="151">
      <formula>AND(AA$9&gt;=14/24,AA$9&lt;20/24)</formula>
    </cfRule>
    <cfRule type="expression" dxfId="7357" priority="152">
      <formula>AND(AA$9&gt;=8/24,AA$9&lt;14/24)</formula>
    </cfRule>
    <cfRule type="expression" dxfId="7356" priority="153">
      <formula>AA$9&lt;8/24</formula>
    </cfRule>
  </conditionalFormatting>
  <conditionalFormatting sqref="AA17:AF17 AA23:AF23">
    <cfRule type="expression" dxfId="7355" priority="145">
      <formula>AA17&gt;$AG17</formula>
    </cfRule>
  </conditionalFormatting>
  <conditionalFormatting sqref="B99:B105 B78:AF78 B87:AF87 B11:Z11">
    <cfRule type="expression" dxfId="7354" priority="100">
      <formula>B$9&gt;=20/24</formula>
    </cfRule>
    <cfRule type="expression" dxfId="7353" priority="101">
      <formula>AND(B$9&gt;=14/24,B$9&lt;20/24)</formula>
    </cfRule>
    <cfRule type="expression" dxfId="7352" priority="102">
      <formula>AND(B$9&gt;=8/24,B$9&lt;14/24)</formula>
    </cfRule>
    <cfRule type="expression" dxfId="7351" priority="103">
      <formula>B$9&lt;8/24</formula>
    </cfRule>
  </conditionalFormatting>
  <conditionalFormatting sqref="B37">
    <cfRule type="expression" dxfId="7350" priority="96">
      <formula>B$9&gt;=20/24</formula>
    </cfRule>
    <cfRule type="expression" dxfId="7349" priority="97">
      <formula>AND(B$9&gt;=14/24,B$9&lt;20/24)</formula>
    </cfRule>
    <cfRule type="expression" dxfId="7348" priority="98">
      <formula>AND(B$9&gt;=8/24,B$9&lt;14/24)</formula>
    </cfRule>
    <cfRule type="expression" dxfId="7347" priority="99">
      <formula>B$9&lt;8/24</formula>
    </cfRule>
  </conditionalFormatting>
  <conditionalFormatting sqref="B37 B11:Z11">
    <cfRule type="expression" dxfId="7346" priority="95">
      <formula>B11&gt;$AG11</formula>
    </cfRule>
  </conditionalFormatting>
  <conditionalFormatting sqref="B89">
    <cfRule type="expression" dxfId="7345" priority="91">
      <formula>B$9&gt;=20/24</formula>
    </cfRule>
    <cfRule type="expression" dxfId="7344" priority="92">
      <formula>AND(B$9&gt;=14/24,B$9&lt;20/24)</formula>
    </cfRule>
    <cfRule type="expression" dxfId="7343" priority="93">
      <formula>AND(B$9&gt;=8/24,B$9&lt;14/24)</formula>
    </cfRule>
    <cfRule type="expression" dxfId="7342" priority="94">
      <formula>B$9&lt;8/24</formula>
    </cfRule>
  </conditionalFormatting>
  <conditionalFormatting sqref="B61 B44:P45 B36:Z36">
    <cfRule type="expression" dxfId="7341" priority="87">
      <formula>B$9&gt;=20/24</formula>
    </cfRule>
    <cfRule type="expression" dxfId="7340" priority="88">
      <formula>AND(B$9&gt;=14/24,B$9&lt;20/24)</formula>
    </cfRule>
    <cfRule type="expression" dxfId="7339" priority="89">
      <formula>AND(B$9&gt;=8/24,B$9&lt;14/24)</formula>
    </cfRule>
    <cfRule type="expression" dxfId="7338" priority="90">
      <formula>B$9&lt;8/24</formula>
    </cfRule>
  </conditionalFormatting>
  <conditionalFormatting sqref="B43:P43">
    <cfRule type="expression" dxfId="7337" priority="83">
      <formula>B$9&gt;=20/24</formula>
    </cfRule>
    <cfRule type="expression" dxfId="7336" priority="84">
      <formula>AND(B$9&gt;=14/24,B$9&lt;20/24)</formula>
    </cfRule>
    <cfRule type="expression" dxfId="7335" priority="85">
      <formula>AND(B$9&gt;=8/24,B$9&lt;14/24)</formula>
    </cfRule>
    <cfRule type="expression" dxfId="7334" priority="86">
      <formula>B$9&lt;8/24</formula>
    </cfRule>
  </conditionalFormatting>
  <conditionalFormatting sqref="B43:P45 B36:Z36">
    <cfRule type="expression" dxfId="7333" priority="82">
      <formula>B36&gt;$AG36</formula>
    </cfRule>
  </conditionalFormatting>
  <conditionalFormatting sqref="B90:B96 B57:B60 B62:B71 B73:B77 B79:AF79 B86 C60:AG60 C77:AG77 B88:AF88 C73:D75 C64:R71 B12:Z14 B16:Z16 B18:Z22 B24:Z26 B32:Z32 B28:Z30">
    <cfRule type="expression" dxfId="7332" priority="78">
      <formula>B$9&gt;=20/24</formula>
    </cfRule>
    <cfRule type="expression" dxfId="7331" priority="79">
      <formula>AND(B$9&gt;=14/24,B$9&lt;20/24)</formula>
    </cfRule>
    <cfRule type="expression" dxfId="7330" priority="80">
      <formula>AND(B$9&gt;=8/24,B$9&lt;14/24)</formula>
    </cfRule>
    <cfRule type="expression" dxfId="7329" priority="81">
      <formula>B$9&lt;8/24</formula>
    </cfRule>
  </conditionalFormatting>
  <conditionalFormatting sqref="B33:Z33">
    <cfRule type="expression" dxfId="7328" priority="74">
      <formula>B$9&gt;=20/24</formula>
    </cfRule>
    <cfRule type="expression" dxfId="7327" priority="75">
      <formula>AND(B$9&gt;=14/24,B$9&lt;20/24)</formula>
    </cfRule>
    <cfRule type="expression" dxfId="7326" priority="76">
      <formula>AND(B$9&gt;=8/24,B$9&lt;14/24)</formula>
    </cfRule>
    <cfRule type="expression" dxfId="7325" priority="77">
      <formula>B$9&lt;8/24</formula>
    </cfRule>
  </conditionalFormatting>
  <conditionalFormatting sqref="B55:B60 B38:AG38 C56:AG56 C60:AG60 B46:P47 B18:Z22 B32:Z33 B24:Z30">
    <cfRule type="expression" dxfId="7324" priority="73">
      <formula>B18&gt;$AG18</formula>
    </cfRule>
  </conditionalFormatting>
  <conditionalFormatting sqref="B35:Z35">
    <cfRule type="expression" dxfId="7323" priority="69">
      <formula>B$9&gt;=20/24</formula>
    </cfRule>
    <cfRule type="expression" dxfId="7322" priority="70">
      <formula>AND(B$9&gt;=14/24,B$9&lt;20/24)</formula>
    </cfRule>
    <cfRule type="expression" dxfId="7321" priority="71">
      <formula>AND(B$9&gt;=8/24,B$9&lt;14/24)</formula>
    </cfRule>
    <cfRule type="expression" dxfId="7320" priority="72">
      <formula>B$9&lt;8/24</formula>
    </cfRule>
  </conditionalFormatting>
  <conditionalFormatting sqref="B15:Z15">
    <cfRule type="expression" dxfId="7319" priority="65">
      <formula>B$9&gt;=20/24</formula>
    </cfRule>
    <cfRule type="expression" dxfId="7318" priority="66">
      <formula>AND(B$9&gt;=14/24,B$9&lt;20/24)</formula>
    </cfRule>
    <cfRule type="expression" dxfId="7317" priority="67">
      <formula>AND(B$9&gt;=8/24,B$9&lt;14/24)</formula>
    </cfRule>
    <cfRule type="expression" dxfId="7316" priority="68">
      <formula>B$9&lt;8/24</formula>
    </cfRule>
  </conditionalFormatting>
  <conditionalFormatting sqref="B34:Z34">
    <cfRule type="expression" dxfId="7315" priority="61">
      <formula>B$9&gt;=20/24</formula>
    </cfRule>
    <cfRule type="expression" dxfId="7314" priority="62">
      <formula>AND(B$9&gt;=14/24,B$9&lt;20/24)</formula>
    </cfRule>
    <cfRule type="expression" dxfId="7313" priority="63">
      <formula>AND(B$9&gt;=8/24,B$9&lt;14/24)</formula>
    </cfRule>
    <cfRule type="expression" dxfId="7312" priority="64">
      <formula>B$9&lt;8/24</formula>
    </cfRule>
  </conditionalFormatting>
  <conditionalFormatting sqref="B34:Z34">
    <cfRule type="expression" dxfId="7311" priority="60">
      <formula>B34&gt;$AG34</formula>
    </cfRule>
  </conditionalFormatting>
  <conditionalFormatting sqref="B48:P52 B54:P54 B53:Z53">
    <cfRule type="expression" dxfId="7310" priority="56">
      <formula>B$9&gt;=20/24</formula>
    </cfRule>
    <cfRule type="expression" dxfId="7309" priority="57">
      <formula>AND(B$9&gt;=14/24,B$9&lt;20/24)</formula>
    </cfRule>
    <cfRule type="expression" dxfId="7308" priority="58">
      <formula>AND(B$9&gt;=8/24,B$9&lt;14/24)</formula>
    </cfRule>
    <cfRule type="expression" dxfId="7307" priority="59">
      <formula>B$9&lt;8/24</formula>
    </cfRule>
  </conditionalFormatting>
  <conditionalFormatting sqref="B48:P52 B54:P54 B53:Z53">
    <cfRule type="expression" dxfId="7306" priority="55">
      <formula>B48&gt;$AG48</formula>
    </cfRule>
  </conditionalFormatting>
  <conditionalFormatting sqref="B27:Z27">
    <cfRule type="expression" dxfId="7305" priority="51">
      <formula>B$9&gt;=20/24</formula>
    </cfRule>
    <cfRule type="expression" dxfId="7304" priority="52">
      <formula>AND(B$9&gt;=14/24,B$9&lt;20/24)</formula>
    </cfRule>
    <cfRule type="expression" dxfId="7303" priority="53">
      <formula>AND(B$9&gt;=8/24,B$9&lt;14/24)</formula>
    </cfRule>
    <cfRule type="expression" dxfId="7302" priority="54">
      <formula>B$9&lt;8/24</formula>
    </cfRule>
  </conditionalFormatting>
  <conditionalFormatting sqref="B17:Z17 B23:Z23">
    <cfRule type="expression" dxfId="7301" priority="47">
      <formula>B$9&gt;=20/24</formula>
    </cfRule>
    <cfRule type="expression" dxfId="7300" priority="48">
      <formula>AND(B$9&gt;=14/24,B$9&lt;20/24)</formula>
    </cfRule>
    <cfRule type="expression" dxfId="7299" priority="49">
      <formula>AND(B$9&gt;=8/24,B$9&lt;14/24)</formula>
    </cfRule>
    <cfRule type="expression" dxfId="7298" priority="50">
      <formula>B$9&lt;8/24</formula>
    </cfRule>
  </conditionalFormatting>
  <conditionalFormatting sqref="B17:Z17 B23:Z23">
    <cfRule type="expression" dxfId="7297" priority="46">
      <formula>B17&gt;$AG17</formula>
    </cfRule>
  </conditionalFormatting>
  <conditionalFormatting sqref="A34">
    <cfRule type="expression" dxfId="7296" priority="45">
      <formula>$AH34=0</formula>
    </cfRule>
  </conditionalFormatting>
  <conditionalFormatting sqref="B72:AF72">
    <cfRule type="expression" dxfId="7295" priority="41">
      <formula>B$9&gt;=20/24</formula>
    </cfRule>
    <cfRule type="expression" dxfId="7294" priority="42">
      <formula>AND(B$9&gt;=14/24,B$9&lt;20/24)</formula>
    </cfRule>
    <cfRule type="expression" dxfId="7293" priority="43">
      <formula>AND(B$9&gt;=8/24,B$9&lt;14/24)</formula>
    </cfRule>
    <cfRule type="expression" dxfId="7292" priority="44">
      <formula>B$9&lt;8/24</formula>
    </cfRule>
  </conditionalFormatting>
  <conditionalFormatting sqref="B81:AF85">
    <cfRule type="expression" dxfId="7291" priority="37">
      <formula>B$9&gt;=20/24</formula>
    </cfRule>
    <cfRule type="expression" dxfId="7290" priority="38">
      <formula>AND(B$9&gt;=14/24,B$9&lt;20/24)</formula>
    </cfRule>
    <cfRule type="expression" dxfId="7289" priority="39">
      <formula>AND(B$9&gt;=8/24,B$9&lt;14/24)</formula>
    </cfRule>
    <cfRule type="expression" dxfId="7288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N39:AF41">
    <cfRule type="expression" dxfId="7287" priority="33">
      <formula>N$9&gt;=20/24</formula>
    </cfRule>
    <cfRule type="expression" dxfId="7286" priority="34">
      <formula>AND(N$9&gt;=14/24,N$9&lt;20/24)</formula>
    </cfRule>
    <cfRule type="expression" dxfId="7285" priority="35">
      <formula>AND(N$9&gt;=8/24,N$9&lt;14/24)</formula>
    </cfRule>
    <cfRule type="expression" dxfId="7284" priority="36">
      <formula>N$9&lt;8/24</formula>
    </cfRule>
  </conditionalFormatting>
  <conditionalFormatting sqref="N39:AF41">
    <cfRule type="expression" dxfId="7283" priority="32">
      <formula>N39&gt;$AG39</formula>
    </cfRule>
  </conditionalFormatting>
  <conditionalFormatting sqref="B39:B42 C42:AG42 C39:M41">
    <cfRule type="expression" dxfId="7282" priority="28">
      <formula>B$9&gt;=20/24</formula>
    </cfRule>
    <cfRule type="expression" dxfId="7281" priority="29">
      <formula>AND(B$9&gt;=14/24,B$9&lt;20/24)</formula>
    </cfRule>
    <cfRule type="expression" dxfId="7280" priority="30">
      <formula>AND(B$9&gt;=8/24,B$9&lt;14/24)</formula>
    </cfRule>
    <cfRule type="expression" dxfId="7279" priority="31">
      <formula>B$9&lt;8/24</formula>
    </cfRule>
  </conditionalFormatting>
  <conditionalFormatting sqref="B39:B42 C42:AG42 C39:M41">
    <cfRule type="expression" dxfId="7278" priority="27">
      <formula>B39&gt;$AG39</formula>
    </cfRule>
  </conditionalFormatting>
  <conditionalFormatting sqref="C97:AF97">
    <cfRule type="expression" dxfId="7277" priority="23">
      <formula>C$9&gt;=20/24</formula>
    </cfRule>
    <cfRule type="expression" dxfId="7276" priority="24">
      <formula>AND(C$9&gt;=14/24,C$9&lt;20/24)</formula>
    </cfRule>
    <cfRule type="expression" dxfId="7275" priority="25">
      <formula>AND(C$9&gt;=8/24,C$9&lt;14/24)</formula>
    </cfRule>
    <cfRule type="expression" dxfId="7274" priority="26">
      <formula>C$9&lt;8/24</formula>
    </cfRule>
  </conditionalFormatting>
  <conditionalFormatting sqref="B97">
    <cfRule type="expression" dxfId="7273" priority="19">
      <formula>B$9&gt;=20/24</formula>
    </cfRule>
    <cfRule type="expression" dxfId="7272" priority="20">
      <formula>AND(B$9&gt;=14/24,B$9&lt;20/24)</formula>
    </cfRule>
    <cfRule type="expression" dxfId="7271" priority="21">
      <formula>AND(B$9&gt;=8/24,B$9&lt;14/24)</formula>
    </cfRule>
    <cfRule type="expression" dxfId="7270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7269" priority="12">
      <formula>$AH31=0</formula>
    </cfRule>
  </conditionalFormatting>
  <conditionalFormatting sqref="A80">
    <cfRule type="expression" dxfId="7268" priority="10">
      <formula>$AH80=0</formula>
    </cfRule>
  </conditionalFormatting>
  <conditionalFormatting sqref="A77">
    <cfRule type="expression" dxfId="7267" priority="11">
      <formula>$AH77=0</formula>
    </cfRule>
  </conditionalFormatting>
  <conditionalFormatting sqref="A106">
    <cfRule type="expression" dxfId="7266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32085C2D-2DB0-4F01-A8AA-B55B011851F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E0B91024-AE87-4B05-90F9-6B77586F8FA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09FAC00A-0F1C-41FD-8396-892DED6B010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D626550D-932C-4972-A339-32B943D219D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9952A8BA-63EB-41CD-9ADB-8FFDA23AE10D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3A575857-9B64-4E1D-9E8C-D3866A0E91A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A8736A6A-E10C-4CE7-AD04-E6D1DCF041A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9842C238-532C-4F80-9FAF-0A66CB3B675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77C77B24-E5EE-4D18-A93C-2A0311967B2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239BCB4D-4B11-4454-B07D-9F9D12C7C7C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83175AA3-23EB-45A8-A236-7441E147BBB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7757E2F2-DEAF-46AA-A0BB-C5BDED1D913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0638463E-095D-4133-89B4-DB867EB7698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J493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AE61" sqref="AE61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1" width="6" style="176" bestFit="1" customWidth="1"/>
    <col min="12" max="12" width="7" style="176" bestFit="1" customWidth="1"/>
    <col min="13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2079/02/6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60.1</v>
      </c>
      <c r="C5" s="205">
        <f t="shared" si="0"/>
        <v>37.1</v>
      </c>
      <c r="D5" s="205">
        <f t="shared" si="0"/>
        <v>35.4</v>
      </c>
      <c r="E5" s="205">
        <f t="shared" si="0"/>
        <v>11</v>
      </c>
      <c r="F5" s="205">
        <f t="shared" si="0"/>
        <v>5</v>
      </c>
      <c r="G5" s="205">
        <f t="shared" si="0"/>
        <v>3</v>
      </c>
      <c r="H5" s="205">
        <f t="shared" si="0"/>
        <v>0</v>
      </c>
      <c r="I5" s="205">
        <f t="shared" si="0"/>
        <v>10</v>
      </c>
      <c r="J5" s="205">
        <f t="shared" si="0"/>
        <v>19.8</v>
      </c>
      <c r="K5" s="205">
        <f t="shared" si="0"/>
        <v>16.100000000000001</v>
      </c>
      <c r="L5" s="205">
        <f t="shared" si="0"/>
        <v>39.1</v>
      </c>
      <c r="M5" s="205">
        <f t="shared" si="0"/>
        <v>45.2</v>
      </c>
      <c r="N5" s="205">
        <f t="shared" si="0"/>
        <v>48.9</v>
      </c>
      <c r="O5" s="205">
        <f t="shared" si="0"/>
        <v>45.4</v>
      </c>
      <c r="P5" s="205">
        <f t="shared" si="0"/>
        <v>54.5</v>
      </c>
      <c r="Q5" s="205">
        <f t="shared" si="0"/>
        <v>60.8</v>
      </c>
      <c r="R5" s="205">
        <f t="shared" si="0"/>
        <v>68.7</v>
      </c>
      <c r="S5" s="205">
        <f t="shared" si="0"/>
        <v>60.4</v>
      </c>
      <c r="T5" s="205">
        <f t="shared" si="0"/>
        <v>63</v>
      </c>
      <c r="U5" s="205">
        <f t="shared" si="0"/>
        <v>47.6</v>
      </c>
      <c r="V5" s="205">
        <f t="shared" si="0"/>
        <v>57.1</v>
      </c>
      <c r="W5" s="205">
        <f t="shared" si="0"/>
        <v>56.3</v>
      </c>
      <c r="X5" s="205">
        <f t="shared" si="0"/>
        <v>48</v>
      </c>
      <c r="Y5" s="205">
        <f t="shared" si="0"/>
        <v>55</v>
      </c>
      <c r="Z5" s="205">
        <f t="shared" si="0"/>
        <v>69.599999999999994</v>
      </c>
      <c r="AA5" s="205">
        <f t="shared" si="0"/>
        <v>78</v>
      </c>
      <c r="AB5" s="205">
        <f t="shared" si="0"/>
        <v>78</v>
      </c>
      <c r="AC5" s="205">
        <f t="shared" si="0"/>
        <v>79</v>
      </c>
      <c r="AD5" s="205">
        <f t="shared" si="0"/>
        <v>49</v>
      </c>
      <c r="AE5" s="205">
        <f t="shared" si="0"/>
        <v>48</v>
      </c>
      <c r="AF5" s="205">
        <f>B72</f>
        <v>69.8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1872MW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Load=1761</v>
      </c>
      <c r="B7" s="210">
        <f>B79</f>
        <v>1820.4399999999998</v>
      </c>
      <c r="C7" s="210">
        <f t="shared" ref="C7:AF7" si="1">C79</f>
        <v>1841.7399999999998</v>
      </c>
      <c r="D7" s="210">
        <f t="shared" si="1"/>
        <v>1809.34</v>
      </c>
      <c r="E7" s="210">
        <f t="shared" si="1"/>
        <v>1797.8400000000001</v>
      </c>
      <c r="F7" s="210">
        <f t="shared" si="1"/>
        <v>1780.24</v>
      </c>
      <c r="G7" s="210">
        <f t="shared" si="1"/>
        <v>1779.6399999999999</v>
      </c>
      <c r="H7" s="210">
        <f t="shared" si="1"/>
        <v>1775.6399999999999</v>
      </c>
      <c r="I7" s="210">
        <f t="shared" si="1"/>
        <v>1760.9399999999998</v>
      </c>
      <c r="J7" s="210">
        <f t="shared" si="1"/>
        <v>1787.54</v>
      </c>
      <c r="K7" s="210">
        <f t="shared" si="1"/>
        <v>1797.6399999999999</v>
      </c>
      <c r="L7" s="210">
        <f t="shared" si="1"/>
        <v>1801.34</v>
      </c>
      <c r="M7" s="210">
        <f t="shared" si="1"/>
        <v>1871.7399999999998</v>
      </c>
      <c r="N7" s="210">
        <f t="shared" si="1"/>
        <v>1854.74</v>
      </c>
      <c r="O7" s="210">
        <f t="shared" si="1"/>
        <v>1910.94</v>
      </c>
      <c r="P7" s="210">
        <f t="shared" si="1"/>
        <v>1898.7400000000002</v>
      </c>
      <c r="Q7" s="210">
        <f t="shared" si="1"/>
        <v>1918.3400000000001</v>
      </c>
      <c r="R7" s="210">
        <f t="shared" si="1"/>
        <v>1964.84</v>
      </c>
      <c r="S7" s="210">
        <f t="shared" si="1"/>
        <v>1896.84</v>
      </c>
      <c r="T7" s="210">
        <f t="shared" si="1"/>
        <v>1908.54</v>
      </c>
      <c r="U7" s="210">
        <f t="shared" si="1"/>
        <v>1889.7399999999998</v>
      </c>
      <c r="V7" s="210">
        <f t="shared" si="1"/>
        <v>1865.8399999999997</v>
      </c>
      <c r="W7" s="210">
        <f t="shared" si="1"/>
        <v>1895.2399999999998</v>
      </c>
      <c r="X7" s="210">
        <f t="shared" si="1"/>
        <v>1875.6399999999999</v>
      </c>
      <c r="Y7" s="210">
        <f t="shared" si="1"/>
        <v>1829.54</v>
      </c>
      <c r="Z7" s="210">
        <f t="shared" si="1"/>
        <v>1882.54</v>
      </c>
      <c r="AA7" s="210">
        <f t="shared" si="1"/>
        <v>1933.6399999999999</v>
      </c>
      <c r="AB7" s="210">
        <f t="shared" si="1"/>
        <v>1922.1399999999999</v>
      </c>
      <c r="AC7" s="210">
        <f t="shared" si="1"/>
        <v>1922.1399999999999</v>
      </c>
      <c r="AD7" s="210">
        <f t="shared" si="1"/>
        <v>1923.1399999999999</v>
      </c>
      <c r="AE7" s="210">
        <f t="shared" si="1"/>
        <v>1893.1399999999999</v>
      </c>
      <c r="AF7" s="210">
        <f t="shared" si="1"/>
        <v>1837.6399999999999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53.6</v>
      </c>
      <c r="C11" s="222">
        <v>53.6</v>
      </c>
      <c r="D11" s="222">
        <v>53.6</v>
      </c>
      <c r="E11" s="222">
        <v>53.6</v>
      </c>
      <c r="F11" s="221">
        <v>53.6</v>
      </c>
      <c r="G11" s="221">
        <v>53.6</v>
      </c>
      <c r="H11" s="221">
        <v>53.6</v>
      </c>
      <c r="I11" s="221">
        <v>53.6</v>
      </c>
      <c r="J11" s="221">
        <v>53.6</v>
      </c>
      <c r="K11" s="221">
        <v>53.6</v>
      </c>
      <c r="L11" s="221">
        <v>53.6</v>
      </c>
      <c r="M11" s="221">
        <v>53.6</v>
      </c>
      <c r="N11" s="221">
        <v>53.6</v>
      </c>
      <c r="O11" s="221">
        <v>53.6</v>
      </c>
      <c r="P11" s="221">
        <v>53.6</v>
      </c>
      <c r="Q11" s="221">
        <v>53.6</v>
      </c>
      <c r="R11" s="221">
        <v>53.6</v>
      </c>
      <c r="S11" s="224">
        <v>53.5</v>
      </c>
      <c r="T11" s="224">
        <v>53.5</v>
      </c>
      <c r="U11" s="224">
        <v>53.5</v>
      </c>
      <c r="V11" s="224">
        <v>53.5</v>
      </c>
      <c r="W11" s="224">
        <v>53.5</v>
      </c>
      <c r="X11" s="224">
        <v>53.5</v>
      </c>
      <c r="Y11" s="224">
        <v>53.5</v>
      </c>
      <c r="Z11" s="224">
        <v>53.5</v>
      </c>
      <c r="AA11" s="224">
        <v>53.5</v>
      </c>
      <c r="AB11" s="224">
        <v>53.5</v>
      </c>
      <c r="AC11" s="224">
        <v>53.5</v>
      </c>
      <c r="AD11" s="224">
        <v>53.5</v>
      </c>
      <c r="AE11" s="224">
        <v>53.5</v>
      </c>
      <c r="AF11" s="224">
        <v>53.5</v>
      </c>
      <c r="AG11" s="225">
        <v>52.4</v>
      </c>
      <c r="AH11" s="226">
        <f>MAX(B11:AF11)</f>
        <v>53.6</v>
      </c>
      <c r="AI11" s="227">
        <f>MIN(B11:AF11)</f>
        <v>53.5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50.4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50.4</v>
      </c>
      <c r="N12" s="221">
        <v>50.4</v>
      </c>
      <c r="O12" s="221">
        <v>50.4</v>
      </c>
      <c r="P12" s="221">
        <v>50.4</v>
      </c>
      <c r="Q12" s="221">
        <v>50.5</v>
      </c>
      <c r="R12" s="221">
        <v>50.6</v>
      </c>
      <c r="S12" s="221">
        <v>52.5</v>
      </c>
      <c r="T12" s="221">
        <v>52.5</v>
      </c>
      <c r="U12" s="221">
        <v>52.5</v>
      </c>
      <c r="V12" s="221">
        <v>50.6</v>
      </c>
      <c r="W12" s="221">
        <v>50.6</v>
      </c>
      <c r="X12" s="221">
        <v>50.6</v>
      </c>
      <c r="Y12" s="221">
        <v>50.6</v>
      </c>
      <c r="Z12" s="221">
        <v>50.6</v>
      </c>
      <c r="AA12" s="221">
        <v>50.6</v>
      </c>
      <c r="AB12" s="221">
        <v>50.6</v>
      </c>
      <c r="AC12" s="221">
        <v>50.6</v>
      </c>
      <c r="AD12" s="221">
        <v>50.6</v>
      </c>
      <c r="AE12" s="221">
        <v>50.6</v>
      </c>
      <c r="AF12" s="221">
        <v>50.6</v>
      </c>
      <c r="AG12" s="229">
        <v>50</v>
      </c>
      <c r="AH12" s="226">
        <f t="shared" ref="AH12:AH79" si="2">MAX(B12:AF12)</f>
        <v>52.5</v>
      </c>
      <c r="AI12" s="227">
        <f t="shared" ref="AI12:AI79" si="3">MIN(B12:AF12)</f>
        <v>50.4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45.9</v>
      </c>
      <c r="C13" s="221">
        <v>45.9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45.8</v>
      </c>
      <c r="T13" s="221">
        <v>45.8</v>
      </c>
      <c r="U13" s="221">
        <v>45.8</v>
      </c>
      <c r="V13" s="221">
        <v>45.8</v>
      </c>
      <c r="W13" s="221">
        <v>45.8</v>
      </c>
      <c r="X13" s="221">
        <v>45.8</v>
      </c>
      <c r="Y13" s="221">
        <v>45.8</v>
      </c>
      <c r="Z13" s="221">
        <v>45.8</v>
      </c>
      <c r="AA13" s="221">
        <v>45.8</v>
      </c>
      <c r="AB13" s="221">
        <v>45.8</v>
      </c>
      <c r="AC13" s="221">
        <v>45.8</v>
      </c>
      <c r="AD13" s="221">
        <v>45.8</v>
      </c>
      <c r="AE13" s="221">
        <v>45.8</v>
      </c>
      <c r="AF13" s="221">
        <v>45.8</v>
      </c>
      <c r="AG13" s="229">
        <v>45</v>
      </c>
      <c r="AH13" s="226">
        <f t="shared" si="2"/>
        <v>45.9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33</v>
      </c>
      <c r="D14" s="221">
        <v>33</v>
      </c>
      <c r="E14" s="221">
        <v>33</v>
      </c>
      <c r="F14" s="221">
        <v>33</v>
      </c>
      <c r="G14" s="221">
        <v>40</v>
      </c>
      <c r="H14" s="221">
        <v>40</v>
      </c>
      <c r="I14" s="221">
        <v>30</v>
      </c>
      <c r="J14" s="221">
        <v>30</v>
      </c>
      <c r="K14" s="221">
        <v>30</v>
      </c>
      <c r="L14" s="221">
        <v>35</v>
      </c>
      <c r="M14" s="221">
        <v>35</v>
      </c>
      <c r="N14" s="221">
        <v>35</v>
      </c>
      <c r="O14" s="221">
        <v>40</v>
      </c>
      <c r="P14" s="221">
        <v>40</v>
      </c>
      <c r="Q14" s="221">
        <v>40</v>
      </c>
      <c r="R14" s="221">
        <v>40</v>
      </c>
      <c r="S14" s="221">
        <v>40</v>
      </c>
      <c r="T14" s="221">
        <v>40</v>
      </c>
      <c r="U14" s="221">
        <v>39</v>
      </c>
      <c r="V14" s="221">
        <v>39</v>
      </c>
      <c r="W14" s="221">
        <v>32</v>
      </c>
      <c r="X14" s="221">
        <v>0</v>
      </c>
      <c r="Y14" s="221">
        <v>0</v>
      </c>
      <c r="Z14" s="221">
        <v>0</v>
      </c>
      <c r="AA14" s="221">
        <v>0</v>
      </c>
      <c r="AB14" s="221">
        <v>30</v>
      </c>
      <c r="AC14" s="221">
        <v>30</v>
      </c>
      <c r="AD14" s="221">
        <v>30</v>
      </c>
      <c r="AE14" s="221">
        <v>30</v>
      </c>
      <c r="AF14" s="221">
        <v>30</v>
      </c>
      <c r="AG14" s="229">
        <v>42</v>
      </c>
      <c r="AH14" s="226">
        <f t="shared" si="2"/>
        <v>40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30</v>
      </c>
      <c r="D15" s="221">
        <v>20</v>
      </c>
      <c r="E15" s="221">
        <v>10</v>
      </c>
      <c r="F15" s="221">
        <v>10</v>
      </c>
      <c r="G15" s="221">
        <v>15</v>
      </c>
      <c r="H15" s="221">
        <v>15</v>
      </c>
      <c r="I15" s="221">
        <v>10</v>
      </c>
      <c r="J15" s="221">
        <v>15</v>
      </c>
      <c r="K15" s="221">
        <v>15</v>
      </c>
      <c r="L15" s="221">
        <v>15</v>
      </c>
      <c r="M15" s="221">
        <v>9.5</v>
      </c>
      <c r="N15" s="221">
        <v>9.5</v>
      </c>
      <c r="O15" s="221">
        <v>29.4</v>
      </c>
      <c r="P15" s="221">
        <v>29.4</v>
      </c>
      <c r="Q15" s="221">
        <v>30</v>
      </c>
      <c r="R15" s="221">
        <v>30</v>
      </c>
      <c r="S15" s="221">
        <v>0</v>
      </c>
      <c r="T15" s="221">
        <v>0</v>
      </c>
      <c r="U15" s="221">
        <v>10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26.4</v>
      </c>
      <c r="C16" s="221">
        <v>26.4</v>
      </c>
      <c r="D16" s="221">
        <v>26.4</v>
      </c>
      <c r="E16" s="221">
        <v>26.4</v>
      </c>
      <c r="F16" s="221">
        <v>26.4</v>
      </c>
      <c r="G16" s="221">
        <v>26.4</v>
      </c>
      <c r="H16" s="221">
        <v>26.4</v>
      </c>
      <c r="I16" s="221">
        <v>26.4</v>
      </c>
      <c r="J16" s="221">
        <v>26.4</v>
      </c>
      <c r="K16" s="221">
        <v>26.4</v>
      </c>
      <c r="L16" s="221">
        <v>26.4</v>
      </c>
      <c r="M16" s="221">
        <v>26.4</v>
      </c>
      <c r="N16" s="221">
        <v>26.4</v>
      </c>
      <c r="O16" s="221">
        <v>26.4</v>
      </c>
      <c r="P16" s="221">
        <v>26.4</v>
      </c>
      <c r="Q16" s="221">
        <v>26.3</v>
      </c>
      <c r="R16" s="221">
        <v>26.2</v>
      </c>
      <c r="S16" s="221">
        <v>26.4</v>
      </c>
      <c r="T16" s="221">
        <v>26.4</v>
      </c>
      <c r="U16" s="221">
        <v>26.4</v>
      </c>
      <c r="V16" s="221">
        <v>26.4</v>
      </c>
      <c r="W16" s="221">
        <v>26.4</v>
      </c>
      <c r="X16" s="221">
        <v>26.4</v>
      </c>
      <c r="Y16" s="221">
        <v>26.4</v>
      </c>
      <c r="Z16" s="221">
        <v>26.4</v>
      </c>
      <c r="AA16" s="221">
        <v>26.4</v>
      </c>
      <c r="AB16" s="221">
        <v>26.4</v>
      </c>
      <c r="AC16" s="221">
        <v>26.4</v>
      </c>
      <c r="AD16" s="221">
        <v>26.4</v>
      </c>
      <c r="AE16" s="221">
        <v>26.4</v>
      </c>
      <c r="AF16" s="221">
        <v>26.4</v>
      </c>
      <c r="AG16" s="229">
        <v>25</v>
      </c>
      <c r="AH16" s="226">
        <f t="shared" si="2"/>
        <v>26.4</v>
      </c>
      <c r="AI16" s="227">
        <f t="shared" si="3"/>
        <v>26.2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13</v>
      </c>
      <c r="C17" s="221">
        <v>13</v>
      </c>
      <c r="D17" s="221">
        <v>13</v>
      </c>
      <c r="E17" s="221">
        <v>13</v>
      </c>
      <c r="F17" s="221">
        <v>13</v>
      </c>
      <c r="G17" s="221">
        <v>13</v>
      </c>
      <c r="H17" s="221">
        <v>13</v>
      </c>
      <c r="I17" s="221">
        <v>13</v>
      </c>
      <c r="J17" s="221">
        <v>13</v>
      </c>
      <c r="K17" s="221">
        <v>13</v>
      </c>
      <c r="L17" s="221">
        <v>13</v>
      </c>
      <c r="M17" s="221">
        <v>13</v>
      </c>
      <c r="N17" s="221">
        <v>13</v>
      </c>
      <c r="O17" s="221">
        <v>13</v>
      </c>
      <c r="P17" s="221">
        <v>13</v>
      </c>
      <c r="Q17" s="221">
        <v>13</v>
      </c>
      <c r="R17" s="221">
        <v>13</v>
      </c>
      <c r="S17" s="221">
        <v>13</v>
      </c>
      <c r="T17" s="221">
        <v>13</v>
      </c>
      <c r="U17" s="221">
        <v>13</v>
      </c>
      <c r="V17" s="221">
        <v>13</v>
      </c>
      <c r="W17" s="221">
        <v>13</v>
      </c>
      <c r="X17" s="221">
        <v>13</v>
      </c>
      <c r="Y17" s="221">
        <v>13</v>
      </c>
      <c r="Z17" s="221">
        <v>13</v>
      </c>
      <c r="AA17" s="221">
        <v>13</v>
      </c>
      <c r="AB17" s="221">
        <v>13</v>
      </c>
      <c r="AC17" s="221">
        <v>13</v>
      </c>
      <c r="AD17" s="221">
        <v>13</v>
      </c>
      <c r="AE17" s="221">
        <v>13</v>
      </c>
      <c r="AF17" s="221">
        <v>13</v>
      </c>
      <c r="AG17" s="229">
        <v>25</v>
      </c>
      <c r="AH17" s="226">
        <f t="shared" si="2"/>
        <v>13</v>
      </c>
      <c r="AI17" s="227">
        <f t="shared" si="3"/>
        <v>13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0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0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33.200000000000003</v>
      </c>
      <c r="E19" s="221">
        <v>33.200000000000003</v>
      </c>
      <c r="F19" s="221">
        <v>33.200000000000003</v>
      </c>
      <c r="G19" s="221">
        <v>33.200000000000003</v>
      </c>
      <c r="H19" s="221">
        <v>25.2</v>
      </c>
      <c r="I19" s="221">
        <v>25</v>
      </c>
      <c r="J19" s="221">
        <v>33.4</v>
      </c>
      <c r="K19" s="221">
        <v>33.4</v>
      </c>
      <c r="L19" s="221">
        <v>33.4</v>
      </c>
      <c r="M19" s="221">
        <v>33.4</v>
      </c>
      <c r="N19" s="221">
        <v>33.4</v>
      </c>
      <c r="O19" s="221">
        <v>33.4</v>
      </c>
      <c r="P19" s="221">
        <v>33.4</v>
      </c>
      <c r="Q19" s="221">
        <v>33.299999999999997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33.4</v>
      </c>
      <c r="AI19" s="227">
        <f t="shared" si="3"/>
        <v>25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23.1</v>
      </c>
      <c r="C20" s="221">
        <v>23.1</v>
      </c>
      <c r="D20" s="221">
        <v>23.1</v>
      </c>
      <c r="E20" s="221">
        <v>23.1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23.4</v>
      </c>
      <c r="AI20" s="227">
        <f t="shared" si="3"/>
        <v>23.1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10</v>
      </c>
      <c r="D25" s="221">
        <v>10</v>
      </c>
      <c r="E25" s="221">
        <v>10</v>
      </c>
      <c r="F25" s="221">
        <v>10</v>
      </c>
      <c r="G25" s="221">
        <v>10</v>
      </c>
      <c r="H25" s="221">
        <v>16</v>
      </c>
      <c r="I25" s="221">
        <v>10</v>
      </c>
      <c r="J25" s="221">
        <v>14</v>
      </c>
      <c r="K25" s="221">
        <v>14</v>
      </c>
      <c r="L25" s="221">
        <v>14</v>
      </c>
      <c r="M25" s="221">
        <v>14</v>
      </c>
      <c r="N25" s="221">
        <v>14</v>
      </c>
      <c r="O25" s="221">
        <v>20</v>
      </c>
      <c r="P25" s="221">
        <v>20</v>
      </c>
      <c r="Q25" s="221">
        <v>20</v>
      </c>
      <c r="R25" s="221">
        <v>15</v>
      </c>
      <c r="S25" s="221">
        <v>15</v>
      </c>
      <c r="T25" s="221">
        <v>20</v>
      </c>
      <c r="U25" s="221">
        <v>18</v>
      </c>
      <c r="V25" s="221">
        <v>18</v>
      </c>
      <c r="W25" s="221">
        <v>20</v>
      </c>
      <c r="X25" s="221">
        <v>20</v>
      </c>
      <c r="Y25" s="221">
        <v>20</v>
      </c>
      <c r="Z25" s="221">
        <v>20</v>
      </c>
      <c r="AA25" s="221">
        <v>20</v>
      </c>
      <c r="AB25" s="221">
        <v>20</v>
      </c>
      <c r="AC25" s="221">
        <v>20</v>
      </c>
      <c r="AD25" s="221">
        <v>20</v>
      </c>
      <c r="AE25" s="221">
        <v>20</v>
      </c>
      <c r="AF25" s="221">
        <v>15</v>
      </c>
      <c r="AG25" s="229">
        <v>20</v>
      </c>
      <c r="AH25" s="226">
        <f t="shared" si="2"/>
        <v>20</v>
      </c>
      <c r="AI25" s="227">
        <f t="shared" si="3"/>
        <v>10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8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8</v>
      </c>
      <c r="K29" s="221">
        <v>8</v>
      </c>
      <c r="L29" s="221">
        <v>8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8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6.4</v>
      </c>
      <c r="T32" s="221">
        <v>6.4</v>
      </c>
      <c r="U32" s="221">
        <v>6.4</v>
      </c>
      <c r="V32" s="221">
        <v>6.4</v>
      </c>
      <c r="W32" s="221">
        <v>6.4</v>
      </c>
      <c r="X32" s="221">
        <v>6.4</v>
      </c>
      <c r="Y32" s="221">
        <v>6.4</v>
      </c>
      <c r="Z32" s="221">
        <v>6.4</v>
      </c>
      <c r="AA32" s="221">
        <v>6.4</v>
      </c>
      <c r="AB32" s="221">
        <v>6.4</v>
      </c>
      <c r="AC32" s="221">
        <v>6.4</v>
      </c>
      <c r="AD32" s="221">
        <v>6.4</v>
      </c>
      <c r="AE32" s="221">
        <v>6.4</v>
      </c>
      <c r="AF32" s="221">
        <v>6.4</v>
      </c>
      <c r="AG32" s="230">
        <v>11.88</v>
      </c>
      <c r="AH32" s="226">
        <f t="shared" si="2"/>
        <v>11.5</v>
      </c>
      <c r="AI32" s="227">
        <f t="shared" si="3"/>
        <v>6.4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0</v>
      </c>
      <c r="P34" s="221">
        <v>0</v>
      </c>
      <c r="Q34" s="221">
        <v>0</v>
      </c>
      <c r="R34" s="221">
        <v>0</v>
      </c>
      <c r="S34" s="221">
        <v>0</v>
      </c>
      <c r="T34" s="221">
        <v>0</v>
      </c>
      <c r="U34" s="221">
        <v>0</v>
      </c>
      <c r="V34" s="221">
        <v>0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10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0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v>793</v>
      </c>
      <c r="C38" s="241">
        <f t="shared" ref="C38:AG38" si="4">SUM(C11:C36)</f>
        <v>823</v>
      </c>
      <c r="D38" s="241">
        <f t="shared" si="4"/>
        <v>813</v>
      </c>
      <c r="E38" s="241">
        <f t="shared" si="4"/>
        <v>803</v>
      </c>
      <c r="F38" s="241">
        <f t="shared" si="4"/>
        <v>803.3</v>
      </c>
      <c r="G38" s="241">
        <f t="shared" si="4"/>
        <v>815.3</v>
      </c>
      <c r="H38" s="241">
        <f t="shared" si="4"/>
        <v>813.3</v>
      </c>
      <c r="I38" s="241">
        <f t="shared" si="4"/>
        <v>792.09999999999991</v>
      </c>
      <c r="J38" s="241">
        <f t="shared" si="4"/>
        <v>809.5</v>
      </c>
      <c r="K38" s="241">
        <f t="shared" si="4"/>
        <v>809.5</v>
      </c>
      <c r="L38" s="241">
        <f t="shared" si="4"/>
        <v>814.5</v>
      </c>
      <c r="M38" s="241">
        <f t="shared" si="4"/>
        <v>813</v>
      </c>
      <c r="N38" s="241">
        <f t="shared" si="4"/>
        <v>813</v>
      </c>
      <c r="O38" s="241">
        <f t="shared" si="4"/>
        <v>833.9</v>
      </c>
      <c r="P38" s="241">
        <f t="shared" si="4"/>
        <v>833.9</v>
      </c>
      <c r="Q38" s="241">
        <f t="shared" si="4"/>
        <v>834.4</v>
      </c>
      <c r="R38" s="241">
        <f t="shared" si="4"/>
        <v>829.3</v>
      </c>
      <c r="S38" s="241">
        <f t="shared" si="4"/>
        <v>798.09999999999991</v>
      </c>
      <c r="T38" s="241">
        <f t="shared" si="4"/>
        <v>803.09999999999991</v>
      </c>
      <c r="U38" s="241">
        <f t="shared" si="4"/>
        <v>810.09999999999991</v>
      </c>
      <c r="V38" s="241">
        <f t="shared" si="4"/>
        <v>828.19999999999993</v>
      </c>
      <c r="W38" s="241">
        <f t="shared" si="4"/>
        <v>832.19999999999982</v>
      </c>
      <c r="X38" s="241">
        <f t="shared" si="4"/>
        <v>800.19999999999993</v>
      </c>
      <c r="Y38" s="241">
        <f t="shared" si="4"/>
        <v>798.19999999999993</v>
      </c>
      <c r="Z38" s="241">
        <f t="shared" si="4"/>
        <v>798.19999999999993</v>
      </c>
      <c r="AA38" s="241">
        <f t="shared" si="4"/>
        <v>798.19999999999993</v>
      </c>
      <c r="AB38" s="241">
        <f t="shared" si="4"/>
        <v>828.19999999999982</v>
      </c>
      <c r="AC38" s="241">
        <f t="shared" si="4"/>
        <v>828.19999999999982</v>
      </c>
      <c r="AD38" s="241">
        <f t="shared" si="4"/>
        <v>828.19999999999982</v>
      </c>
      <c r="AE38" s="241">
        <f t="shared" si="4"/>
        <v>828.19999999999982</v>
      </c>
      <c r="AF38" s="241">
        <f t="shared" si="4"/>
        <v>823.19999999999982</v>
      </c>
      <c r="AG38" s="242">
        <f t="shared" si="4"/>
        <v>665.78</v>
      </c>
      <c r="AH38" s="226">
        <f t="shared" si="2"/>
        <v>834.4</v>
      </c>
      <c r="AI38" s="227">
        <f t="shared" si="3"/>
        <v>792.09999999999991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20</v>
      </c>
      <c r="D41" s="247">
        <v>20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20</v>
      </c>
      <c r="AK41" s="228"/>
    </row>
    <row r="42" spans="1:88" ht="15.75" thickBot="1" x14ac:dyDescent="0.3">
      <c r="A42" s="249" t="s">
        <v>50</v>
      </c>
      <c r="B42" s="241">
        <v>538</v>
      </c>
      <c r="C42" s="241">
        <f t="shared" ref="C42:AG42" si="5">SUM(C39:C41)</f>
        <v>536</v>
      </c>
      <c r="D42" s="241">
        <f t="shared" si="5"/>
        <v>536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536</v>
      </c>
      <c r="AK42" s="228"/>
    </row>
    <row r="43" spans="1:88" x14ac:dyDescent="0.25">
      <c r="A43" s="220" t="s">
        <v>51</v>
      </c>
      <c r="B43" s="221">
        <v>143.69999999999999</v>
      </c>
      <c r="C43" s="221">
        <v>143.5</v>
      </c>
      <c r="D43" s="221">
        <v>143.5</v>
      </c>
      <c r="E43" s="221">
        <v>143.4</v>
      </c>
      <c r="F43" s="221">
        <v>143.30000000000001</v>
      </c>
      <c r="G43" s="221">
        <v>142.5</v>
      </c>
      <c r="H43" s="221">
        <v>142.5</v>
      </c>
      <c r="I43" s="221">
        <v>141.5</v>
      </c>
      <c r="J43" s="221">
        <v>141.1</v>
      </c>
      <c r="K43" s="221">
        <v>141.19999999999999</v>
      </c>
      <c r="L43" s="221">
        <v>142.30000000000001</v>
      </c>
      <c r="M43" s="221">
        <v>142.9</v>
      </c>
      <c r="N43" s="221">
        <v>142.9</v>
      </c>
      <c r="O43" s="221">
        <v>142.9</v>
      </c>
      <c r="P43" s="221">
        <v>142.9</v>
      </c>
      <c r="Q43" s="221">
        <v>143.4</v>
      </c>
      <c r="R43" s="221">
        <v>143.30000000000001</v>
      </c>
      <c r="S43" s="221">
        <v>143.30000000000001</v>
      </c>
      <c r="T43" s="221">
        <v>143.30000000000001</v>
      </c>
      <c r="U43" s="221">
        <v>143.30000000000001</v>
      </c>
      <c r="V43" s="221">
        <v>143.30000000000001</v>
      </c>
      <c r="W43" s="221">
        <v>143.30000000000001</v>
      </c>
      <c r="X43" s="221">
        <v>143.30000000000001</v>
      </c>
      <c r="Y43" s="221">
        <v>143.30000000000001</v>
      </c>
      <c r="Z43" s="221">
        <v>143.30000000000001</v>
      </c>
      <c r="AA43" s="221">
        <v>143.30000000000001</v>
      </c>
      <c r="AB43" s="221">
        <v>143.30000000000001</v>
      </c>
      <c r="AC43" s="221">
        <v>143.30000000000001</v>
      </c>
      <c r="AD43" s="221">
        <v>143.30000000000001</v>
      </c>
      <c r="AE43" s="221">
        <v>143.30000000000001</v>
      </c>
      <c r="AF43" s="221">
        <v>143.30000000000001</v>
      </c>
      <c r="AG43" s="230">
        <v>144</v>
      </c>
      <c r="AH43" s="226">
        <f t="shared" si="2"/>
        <v>143.69999999999999</v>
      </c>
      <c r="AI43" s="227">
        <f t="shared" si="3"/>
        <v>141.1</v>
      </c>
      <c r="AK43" s="228"/>
    </row>
    <row r="44" spans="1:88" x14ac:dyDescent="0.25">
      <c r="A44" s="234" t="s">
        <v>52</v>
      </c>
      <c r="B44" s="245">
        <v>70.900000000000006</v>
      </c>
      <c r="C44" s="245">
        <v>70.5</v>
      </c>
      <c r="D44" s="245">
        <v>70.400000000000006</v>
      </c>
      <c r="E44" s="245">
        <v>70.400000000000006</v>
      </c>
      <c r="F44" s="245">
        <v>71</v>
      </c>
      <c r="G44" s="245">
        <v>71.3</v>
      </c>
      <c r="H44" s="245">
        <v>71.3</v>
      </c>
      <c r="I44" s="245">
        <v>71.599999999999994</v>
      </c>
      <c r="J44" s="245">
        <v>71.3</v>
      </c>
      <c r="K44" s="245">
        <v>71.599999999999994</v>
      </c>
      <c r="L44" s="245">
        <v>72.8</v>
      </c>
      <c r="M44" s="245">
        <v>72.099999999999994</v>
      </c>
      <c r="N44" s="245">
        <v>72.099999999999994</v>
      </c>
      <c r="O44" s="245">
        <v>72.099999999999994</v>
      </c>
      <c r="P44" s="245">
        <v>72.099999999999994</v>
      </c>
      <c r="Q44" s="221">
        <v>71.8</v>
      </c>
      <c r="R44" s="221">
        <v>71.3</v>
      </c>
      <c r="S44" s="221">
        <v>71.3</v>
      </c>
      <c r="T44" s="221">
        <v>71.3</v>
      </c>
      <c r="U44" s="221">
        <v>60</v>
      </c>
      <c r="V44" s="221">
        <v>71</v>
      </c>
      <c r="W44" s="221">
        <v>71</v>
      </c>
      <c r="X44" s="221">
        <v>71</v>
      </c>
      <c r="Y44" s="221">
        <v>71</v>
      </c>
      <c r="Z44" s="221">
        <v>71</v>
      </c>
      <c r="AA44" s="245">
        <v>71</v>
      </c>
      <c r="AB44" s="245">
        <v>71</v>
      </c>
      <c r="AC44" s="245">
        <v>71</v>
      </c>
      <c r="AD44" s="245">
        <v>71</v>
      </c>
      <c r="AE44" s="245">
        <v>71</v>
      </c>
      <c r="AF44" s="245">
        <v>71</v>
      </c>
      <c r="AG44" s="235">
        <v>70</v>
      </c>
      <c r="AH44" s="226">
        <f t="shared" si="2"/>
        <v>72.8</v>
      </c>
      <c r="AI44" s="227">
        <f t="shared" si="3"/>
        <v>60</v>
      </c>
      <c r="AK44" s="228"/>
    </row>
    <row r="45" spans="1:88" x14ac:dyDescent="0.25">
      <c r="A45" s="234" t="s">
        <v>53</v>
      </c>
      <c r="B45" s="245">
        <v>63.7</v>
      </c>
      <c r="C45" s="245">
        <v>63.3</v>
      </c>
      <c r="D45" s="245">
        <v>63.3</v>
      </c>
      <c r="E45" s="245">
        <v>63.3</v>
      </c>
      <c r="F45" s="245">
        <v>63.3</v>
      </c>
      <c r="G45" s="245">
        <v>63.3</v>
      </c>
      <c r="H45" s="245">
        <v>63.3</v>
      </c>
      <c r="I45" s="245">
        <v>63.6</v>
      </c>
      <c r="J45" s="245">
        <v>63.8</v>
      </c>
      <c r="K45" s="245">
        <v>63.7</v>
      </c>
      <c r="L45" s="245">
        <v>63.8</v>
      </c>
      <c r="M45" s="245">
        <v>63.8</v>
      </c>
      <c r="N45" s="245">
        <v>63.8</v>
      </c>
      <c r="O45" s="245">
        <v>63.8</v>
      </c>
      <c r="P45" s="245">
        <v>63.8</v>
      </c>
      <c r="Q45" s="221">
        <v>64.2</v>
      </c>
      <c r="R45" s="221">
        <v>64.3</v>
      </c>
      <c r="S45" s="221">
        <v>64.3</v>
      </c>
      <c r="T45" s="221">
        <v>64.3</v>
      </c>
      <c r="U45" s="221">
        <v>64.3</v>
      </c>
      <c r="V45" s="221">
        <v>64.3</v>
      </c>
      <c r="W45" s="221">
        <v>64.3</v>
      </c>
      <c r="X45" s="221">
        <v>64.3</v>
      </c>
      <c r="Y45" s="221">
        <v>64.3</v>
      </c>
      <c r="Z45" s="221">
        <v>64.3</v>
      </c>
      <c r="AA45" s="245">
        <v>64.3</v>
      </c>
      <c r="AB45" s="245">
        <v>64.3</v>
      </c>
      <c r="AC45" s="245">
        <v>64.3</v>
      </c>
      <c r="AD45" s="245">
        <v>64.3</v>
      </c>
      <c r="AE45" s="245">
        <v>64.3</v>
      </c>
      <c r="AF45" s="245">
        <v>64.3</v>
      </c>
      <c r="AG45" s="235">
        <v>69</v>
      </c>
      <c r="AH45" s="226">
        <f t="shared" si="2"/>
        <v>64.3</v>
      </c>
      <c r="AI45" s="227">
        <f t="shared" si="3"/>
        <v>63.3</v>
      </c>
      <c r="AK45" s="228"/>
    </row>
    <row r="46" spans="1:88" x14ac:dyDescent="0.25">
      <c r="A46" s="234" t="s">
        <v>54</v>
      </c>
      <c r="B46" s="237">
        <v>61.2</v>
      </c>
      <c r="C46" s="237">
        <v>60.9</v>
      </c>
      <c r="D46" s="237">
        <v>61.5</v>
      </c>
      <c r="E46" s="237">
        <v>61.5</v>
      </c>
      <c r="F46" s="237">
        <v>61.2</v>
      </c>
      <c r="G46" s="237">
        <v>61.2</v>
      </c>
      <c r="H46" s="237">
        <v>61.2</v>
      </c>
      <c r="I46" s="237">
        <v>61.2</v>
      </c>
      <c r="J46" s="237">
        <v>60.9</v>
      </c>
      <c r="K46" s="237">
        <v>60.9</v>
      </c>
      <c r="L46" s="237">
        <v>60.9</v>
      </c>
      <c r="M46" s="237">
        <v>60.9</v>
      </c>
      <c r="N46" s="237">
        <v>60.9</v>
      </c>
      <c r="O46" s="237">
        <v>60.9</v>
      </c>
      <c r="P46" s="237">
        <v>60.9</v>
      </c>
      <c r="Q46" s="221">
        <v>60.9</v>
      </c>
      <c r="R46" s="221">
        <v>60.9</v>
      </c>
      <c r="S46" s="221">
        <v>60.9</v>
      </c>
      <c r="T46" s="221">
        <v>60.9</v>
      </c>
      <c r="U46" s="221">
        <v>60.9</v>
      </c>
      <c r="V46" s="221">
        <v>60.9</v>
      </c>
      <c r="W46" s="221">
        <v>60.9</v>
      </c>
      <c r="X46" s="221">
        <v>60.9</v>
      </c>
      <c r="Y46" s="221">
        <v>60.9</v>
      </c>
      <c r="Z46" s="221">
        <v>60.9</v>
      </c>
      <c r="AA46" s="245">
        <v>60.9</v>
      </c>
      <c r="AB46" s="245">
        <v>60.9</v>
      </c>
      <c r="AC46" s="245">
        <v>60.9</v>
      </c>
      <c r="AD46" s="245">
        <v>60.9</v>
      </c>
      <c r="AE46" s="245">
        <v>60.9</v>
      </c>
      <c r="AF46" s="245">
        <v>60.9</v>
      </c>
      <c r="AG46" s="235">
        <v>60</v>
      </c>
      <c r="AH46" s="226">
        <f t="shared" si="2"/>
        <v>61.5</v>
      </c>
      <c r="AI46" s="227">
        <f t="shared" si="3"/>
        <v>60.9</v>
      </c>
      <c r="AK46" s="228"/>
    </row>
    <row r="47" spans="1:88" x14ac:dyDescent="0.25">
      <c r="A47" s="234" t="s">
        <v>55</v>
      </c>
      <c r="B47" s="237">
        <v>28.6</v>
      </c>
      <c r="C47" s="237">
        <v>28.5</v>
      </c>
      <c r="D47" s="237">
        <v>28.4</v>
      </c>
      <c r="E47" s="237">
        <v>28.4</v>
      </c>
      <c r="F47" s="237">
        <v>28.5</v>
      </c>
      <c r="G47" s="237">
        <v>28.5</v>
      </c>
      <c r="H47" s="237">
        <v>28.5</v>
      </c>
      <c r="I47" s="237">
        <v>28.5</v>
      </c>
      <c r="J47" s="237">
        <v>28.5</v>
      </c>
      <c r="K47" s="237">
        <v>28.5</v>
      </c>
      <c r="L47" s="237">
        <v>28.5</v>
      </c>
      <c r="M47" s="237">
        <v>28.5</v>
      </c>
      <c r="N47" s="237">
        <v>28.5</v>
      </c>
      <c r="O47" s="237">
        <v>28.5</v>
      </c>
      <c r="P47" s="237">
        <v>28.5</v>
      </c>
      <c r="Q47" s="221">
        <v>28.6</v>
      </c>
      <c r="R47" s="221">
        <v>28.5</v>
      </c>
      <c r="S47" s="221">
        <v>28.5</v>
      </c>
      <c r="T47" s="221">
        <v>28.5</v>
      </c>
      <c r="U47" s="221">
        <v>28.5</v>
      </c>
      <c r="V47" s="221">
        <v>28.5</v>
      </c>
      <c r="W47" s="221">
        <v>28.5</v>
      </c>
      <c r="X47" s="221">
        <v>28.5</v>
      </c>
      <c r="Y47" s="221">
        <v>28.5</v>
      </c>
      <c r="Z47" s="221">
        <v>28.5</v>
      </c>
      <c r="AA47" s="245">
        <v>28.5</v>
      </c>
      <c r="AB47" s="245">
        <v>28.5</v>
      </c>
      <c r="AC47" s="245">
        <v>28.5</v>
      </c>
      <c r="AD47" s="245">
        <v>28.5</v>
      </c>
      <c r="AE47" s="245">
        <v>28.5</v>
      </c>
      <c r="AF47" s="245">
        <v>28.5</v>
      </c>
      <c r="AG47" s="235">
        <v>30</v>
      </c>
      <c r="AH47" s="226">
        <f t="shared" si="2"/>
        <v>28.6</v>
      </c>
      <c r="AI47" s="227">
        <f t="shared" si="3"/>
        <v>28.4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37">
        <v>0</v>
      </c>
      <c r="G48" s="237">
        <v>0</v>
      </c>
      <c r="H48" s="237">
        <v>0</v>
      </c>
      <c r="I48" s="237">
        <v>0</v>
      </c>
      <c r="J48" s="237">
        <v>0</v>
      </c>
      <c r="K48" s="237">
        <v>0</v>
      </c>
      <c r="L48" s="237">
        <v>0</v>
      </c>
      <c r="M48" s="237">
        <v>8</v>
      </c>
      <c r="N48" s="237">
        <v>8</v>
      </c>
      <c r="O48" s="237">
        <v>8</v>
      </c>
      <c r="P48" s="237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16.2</v>
      </c>
      <c r="C49" s="245">
        <v>16.600000000000001</v>
      </c>
      <c r="D49" s="245">
        <v>16.5</v>
      </c>
      <c r="E49" s="245">
        <v>14.8</v>
      </c>
      <c r="F49" s="245">
        <v>14.8</v>
      </c>
      <c r="G49" s="245">
        <v>14.8</v>
      </c>
      <c r="H49" s="245">
        <v>14.8</v>
      </c>
      <c r="I49" s="245">
        <v>14.8</v>
      </c>
      <c r="J49" s="245">
        <v>14.8</v>
      </c>
      <c r="K49" s="245">
        <v>14.8</v>
      </c>
      <c r="L49" s="245">
        <v>14.8</v>
      </c>
      <c r="M49" s="245">
        <v>14.8</v>
      </c>
      <c r="N49" s="245">
        <v>14.8</v>
      </c>
      <c r="O49" s="245">
        <v>14.8</v>
      </c>
      <c r="P49" s="245">
        <v>14.8</v>
      </c>
      <c r="Q49" s="221">
        <v>16.100000000000001</v>
      </c>
      <c r="R49" s="221">
        <v>15.8</v>
      </c>
      <c r="S49" s="221">
        <v>15.8</v>
      </c>
      <c r="T49" s="221">
        <v>15.8</v>
      </c>
      <c r="U49" s="221">
        <v>15.8</v>
      </c>
      <c r="V49" s="221">
        <v>11.5</v>
      </c>
      <c r="W49" s="221">
        <v>11.5</v>
      </c>
      <c r="X49" s="221">
        <v>11.5</v>
      </c>
      <c r="Y49" s="221">
        <v>11.5</v>
      </c>
      <c r="Z49" s="221">
        <v>11.5</v>
      </c>
      <c r="AA49" s="221">
        <v>11.5</v>
      </c>
      <c r="AB49" s="221">
        <v>11.5</v>
      </c>
      <c r="AC49" s="221">
        <v>11.5</v>
      </c>
      <c r="AD49" s="221">
        <v>11.5</v>
      </c>
      <c r="AE49" s="221">
        <v>11.5</v>
      </c>
      <c r="AF49" s="221">
        <v>11.5</v>
      </c>
      <c r="AG49" s="235">
        <v>24</v>
      </c>
      <c r="AH49" s="226">
        <f t="shared" si="2"/>
        <v>16.600000000000001</v>
      </c>
      <c r="AI49" s="227">
        <f t="shared" si="3"/>
        <v>11.5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12.4</v>
      </c>
      <c r="C51" s="245">
        <v>12.7</v>
      </c>
      <c r="D51" s="245">
        <v>13</v>
      </c>
      <c r="E51" s="245">
        <v>13</v>
      </c>
      <c r="F51" s="245">
        <v>13</v>
      </c>
      <c r="G51" s="245">
        <v>13</v>
      </c>
      <c r="H51" s="245">
        <v>13</v>
      </c>
      <c r="I51" s="245">
        <v>13</v>
      </c>
      <c r="J51" s="245">
        <v>13</v>
      </c>
      <c r="K51" s="245">
        <v>13</v>
      </c>
      <c r="L51" s="245">
        <v>13</v>
      </c>
      <c r="M51" s="245">
        <v>13</v>
      </c>
      <c r="N51" s="245">
        <v>13</v>
      </c>
      <c r="O51" s="245">
        <v>13</v>
      </c>
      <c r="P51" s="245">
        <v>13</v>
      </c>
      <c r="Q51" s="221">
        <v>12.7</v>
      </c>
      <c r="R51" s="221">
        <v>12.2</v>
      </c>
      <c r="S51" s="221">
        <v>12.2</v>
      </c>
      <c r="T51" s="221">
        <v>12.2</v>
      </c>
      <c r="U51" s="221">
        <v>12.2</v>
      </c>
      <c r="V51" s="221">
        <v>12.2</v>
      </c>
      <c r="W51" s="221">
        <v>12.2</v>
      </c>
      <c r="X51" s="221">
        <v>12.2</v>
      </c>
      <c r="Y51" s="221">
        <v>12.2</v>
      </c>
      <c r="Z51" s="221">
        <v>12.2</v>
      </c>
      <c r="AA51" s="221">
        <v>12.2</v>
      </c>
      <c r="AB51" s="221">
        <v>12.2</v>
      </c>
      <c r="AC51" s="221">
        <v>12.2</v>
      </c>
      <c r="AD51" s="221">
        <v>12.2</v>
      </c>
      <c r="AE51" s="221">
        <v>12.2</v>
      </c>
      <c r="AF51" s="221">
        <v>12.2</v>
      </c>
      <c r="AG51" s="235">
        <v>14.1</v>
      </c>
      <c r="AH51" s="226">
        <f t="shared" si="2"/>
        <v>13</v>
      </c>
      <c r="AI51" s="227">
        <f t="shared" si="3"/>
        <v>12.2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13.8</v>
      </c>
      <c r="C52" s="245">
        <v>13.9</v>
      </c>
      <c r="D52" s="245">
        <v>13.9</v>
      </c>
      <c r="E52" s="245">
        <v>13.9</v>
      </c>
      <c r="F52" s="245">
        <v>13.9</v>
      </c>
      <c r="G52" s="245">
        <v>4</v>
      </c>
      <c r="H52" s="245">
        <v>4</v>
      </c>
      <c r="I52" s="245">
        <v>13.9</v>
      </c>
      <c r="J52" s="245">
        <v>13.9</v>
      </c>
      <c r="K52" s="245">
        <v>13.9</v>
      </c>
      <c r="L52" s="245">
        <v>13.9</v>
      </c>
      <c r="M52" s="245">
        <v>13.9</v>
      </c>
      <c r="N52" s="245">
        <v>13.9</v>
      </c>
      <c r="O52" s="245">
        <v>13.9</v>
      </c>
      <c r="P52" s="245">
        <v>13.9</v>
      </c>
      <c r="Q52" s="221">
        <v>13.8</v>
      </c>
      <c r="R52" s="221">
        <v>13.8</v>
      </c>
      <c r="S52" s="221">
        <v>13.8</v>
      </c>
      <c r="T52" s="221">
        <v>13.8</v>
      </c>
      <c r="U52" s="221">
        <v>13.8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</v>
      </c>
      <c r="AI52" s="227">
        <f t="shared" si="3"/>
        <v>4</v>
      </c>
      <c r="AK52" s="227">
        <f>7517*4.62*1.6</f>
        <v>55565.664000000004</v>
      </c>
    </row>
    <row r="53" spans="1:41" x14ac:dyDescent="0.25">
      <c r="A53" s="234" t="s">
        <v>61</v>
      </c>
      <c r="B53" s="245">
        <v>6.2</v>
      </c>
      <c r="C53" s="245">
        <v>0</v>
      </c>
      <c r="D53" s="245">
        <v>0</v>
      </c>
      <c r="E53" s="245">
        <v>0</v>
      </c>
      <c r="F53" s="245">
        <v>6.2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0</v>
      </c>
      <c r="AK53" s="227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v>419.64</v>
      </c>
      <c r="C56" s="241">
        <f t="shared" ref="C56:AG56" si="6">SUM(C43:C55)</f>
        <v>422.64</v>
      </c>
      <c r="D56" s="241">
        <f t="shared" si="6"/>
        <v>423.23999999999995</v>
      </c>
      <c r="E56" s="241">
        <f t="shared" si="6"/>
        <v>421.44</v>
      </c>
      <c r="F56" s="241">
        <f t="shared" si="6"/>
        <v>427.94</v>
      </c>
      <c r="G56" s="241">
        <f t="shared" si="6"/>
        <v>421.34000000000003</v>
      </c>
      <c r="H56" s="241">
        <f t="shared" si="6"/>
        <v>421.34000000000003</v>
      </c>
      <c r="I56" s="241">
        <f t="shared" si="6"/>
        <v>430.84</v>
      </c>
      <c r="J56" s="241">
        <f t="shared" si="6"/>
        <v>430.03999999999996</v>
      </c>
      <c r="K56" s="241">
        <f t="shared" si="6"/>
        <v>430.34</v>
      </c>
      <c r="L56" s="241">
        <f t="shared" si="6"/>
        <v>432.74</v>
      </c>
      <c r="M56" s="241">
        <f t="shared" si="6"/>
        <v>440.64</v>
      </c>
      <c r="N56" s="241">
        <f t="shared" si="6"/>
        <v>440.64</v>
      </c>
      <c r="O56" s="241">
        <f t="shared" si="6"/>
        <v>440.64</v>
      </c>
      <c r="P56" s="241">
        <f t="shared" si="6"/>
        <v>440.64</v>
      </c>
      <c r="Q56" s="241">
        <f t="shared" si="6"/>
        <v>442.24</v>
      </c>
      <c r="R56" s="241">
        <f t="shared" si="6"/>
        <v>440.84000000000003</v>
      </c>
      <c r="S56" s="241">
        <f t="shared" si="6"/>
        <v>440.84000000000003</v>
      </c>
      <c r="T56" s="241">
        <f t="shared" si="6"/>
        <v>440.84000000000003</v>
      </c>
      <c r="U56" s="241">
        <f t="shared" si="6"/>
        <v>429.54</v>
      </c>
      <c r="V56" s="241">
        <f t="shared" si="6"/>
        <v>436.44</v>
      </c>
      <c r="W56" s="241">
        <f t="shared" si="6"/>
        <v>436.44</v>
      </c>
      <c r="X56" s="241">
        <f t="shared" si="6"/>
        <v>436.44</v>
      </c>
      <c r="Y56" s="241">
        <f t="shared" si="6"/>
        <v>428.44</v>
      </c>
      <c r="Z56" s="241">
        <f t="shared" si="6"/>
        <v>428.44</v>
      </c>
      <c r="AA56" s="241">
        <f t="shared" si="6"/>
        <v>428.44</v>
      </c>
      <c r="AB56" s="241">
        <f t="shared" si="6"/>
        <v>428.44</v>
      </c>
      <c r="AC56" s="241">
        <f t="shared" si="6"/>
        <v>428.44</v>
      </c>
      <c r="AD56" s="241">
        <f t="shared" si="6"/>
        <v>428.44</v>
      </c>
      <c r="AE56" s="241">
        <f t="shared" si="6"/>
        <v>428.44</v>
      </c>
      <c r="AF56" s="241">
        <f t="shared" si="6"/>
        <v>428.44</v>
      </c>
      <c r="AG56" s="242">
        <f t="shared" si="6"/>
        <v>489.91</v>
      </c>
      <c r="AH56" s="226">
        <f t="shared" si="2"/>
        <v>442.24</v>
      </c>
      <c r="AI56" s="227">
        <f t="shared" si="3"/>
        <v>419.64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19.600000000000001</v>
      </c>
      <c r="N57" s="221">
        <v>10.1</v>
      </c>
      <c r="O57" s="221">
        <v>28.8</v>
      </c>
      <c r="P57" s="221">
        <v>19.399999999999999</v>
      </c>
      <c r="Q57" s="221">
        <v>29.3</v>
      </c>
      <c r="R57" s="221">
        <v>58.9</v>
      </c>
      <c r="S57" s="221">
        <v>30</v>
      </c>
      <c r="T57" s="221">
        <v>40</v>
      </c>
      <c r="U57" s="221">
        <v>30</v>
      </c>
      <c r="V57" s="221">
        <v>10</v>
      </c>
      <c r="W57" s="221">
        <v>20</v>
      </c>
      <c r="X57" s="221">
        <v>23.3</v>
      </c>
      <c r="Y57" s="221">
        <v>10.5</v>
      </c>
      <c r="Z57" s="221">
        <v>42.7</v>
      </c>
      <c r="AA57" s="221">
        <v>60</v>
      </c>
      <c r="AB57" s="221">
        <v>29</v>
      </c>
      <c r="AC57" s="221">
        <v>29</v>
      </c>
      <c r="AD57" s="221">
        <v>29</v>
      </c>
      <c r="AE57" s="221">
        <v>29</v>
      </c>
      <c r="AF57" s="221">
        <v>0</v>
      </c>
      <c r="AG57" s="230">
        <v>60</v>
      </c>
      <c r="AH57" s="226">
        <f t="shared" si="2"/>
        <v>60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15.7</v>
      </c>
      <c r="N58" s="245">
        <v>5.7</v>
      </c>
      <c r="O58" s="245">
        <v>15.2</v>
      </c>
      <c r="P58" s="245">
        <v>15.7</v>
      </c>
      <c r="Q58" s="245">
        <v>14.6</v>
      </c>
      <c r="R58" s="245">
        <v>27.1</v>
      </c>
      <c r="S58" s="245">
        <v>15.5</v>
      </c>
      <c r="T58" s="245">
        <v>19.2</v>
      </c>
      <c r="U58" s="245">
        <v>14</v>
      </c>
      <c r="V58" s="245">
        <v>4.0999999999999996</v>
      </c>
      <c r="W58" s="245">
        <v>8.4</v>
      </c>
      <c r="X58" s="245">
        <v>15.7</v>
      </c>
      <c r="Y58" s="245">
        <v>4.7</v>
      </c>
      <c r="Z58" s="245">
        <v>14.8</v>
      </c>
      <c r="AA58" s="245">
        <v>29</v>
      </c>
      <c r="AB58" s="245">
        <v>15</v>
      </c>
      <c r="AC58" s="245">
        <v>15</v>
      </c>
      <c r="AD58" s="245">
        <v>15</v>
      </c>
      <c r="AE58" s="245">
        <v>15</v>
      </c>
      <c r="AF58" s="245">
        <v>0</v>
      </c>
      <c r="AG58" s="235">
        <v>32</v>
      </c>
      <c r="AH58" s="226">
        <f t="shared" si="2"/>
        <v>29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5.7</v>
      </c>
      <c r="N59" s="247">
        <v>2.1</v>
      </c>
      <c r="O59" s="247">
        <v>5.5</v>
      </c>
      <c r="P59" s="247">
        <v>5.7</v>
      </c>
      <c r="Q59" s="247">
        <v>5.3</v>
      </c>
      <c r="R59" s="247">
        <v>9.9</v>
      </c>
      <c r="S59" s="247">
        <v>5.7</v>
      </c>
      <c r="T59" s="247">
        <v>7</v>
      </c>
      <c r="U59" s="247">
        <v>5.0999999999999996</v>
      </c>
      <c r="V59" s="247">
        <v>1.5</v>
      </c>
      <c r="W59" s="247">
        <v>3.1</v>
      </c>
      <c r="X59" s="247">
        <v>5.7</v>
      </c>
      <c r="Y59" s="247">
        <v>1.7</v>
      </c>
      <c r="Z59" s="247">
        <v>5.4</v>
      </c>
      <c r="AA59" s="247">
        <v>10.4</v>
      </c>
      <c r="AB59" s="247">
        <v>5.5</v>
      </c>
      <c r="AC59" s="247">
        <v>5.5</v>
      </c>
      <c r="AD59" s="247">
        <v>5.5</v>
      </c>
      <c r="AE59" s="247">
        <v>5.5</v>
      </c>
      <c r="AF59" s="247">
        <v>0</v>
      </c>
      <c r="AG59" s="248">
        <v>14</v>
      </c>
      <c r="AH59" s="226">
        <f t="shared" si="2"/>
        <v>10.4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41</v>
      </c>
      <c r="N60" s="241">
        <f t="shared" si="7"/>
        <v>17.900000000000002</v>
      </c>
      <c r="O60" s="241">
        <f t="shared" si="7"/>
        <v>49.5</v>
      </c>
      <c r="P60" s="241">
        <f t="shared" si="7"/>
        <v>40.799999999999997</v>
      </c>
      <c r="Q60" s="241">
        <f t="shared" si="7"/>
        <v>49.199999999999996</v>
      </c>
      <c r="R60" s="241">
        <f t="shared" si="7"/>
        <v>95.9</v>
      </c>
      <c r="S60" s="241">
        <f t="shared" si="7"/>
        <v>51.2</v>
      </c>
      <c r="T60" s="241">
        <f t="shared" si="7"/>
        <v>66.2</v>
      </c>
      <c r="U60" s="241">
        <f t="shared" si="7"/>
        <v>49.1</v>
      </c>
      <c r="V60" s="241">
        <f t="shared" si="7"/>
        <v>15.6</v>
      </c>
      <c r="W60" s="241">
        <f t="shared" si="7"/>
        <v>31.5</v>
      </c>
      <c r="X60" s="241">
        <f t="shared" si="7"/>
        <v>44.7</v>
      </c>
      <c r="Y60" s="241">
        <f t="shared" si="7"/>
        <v>16.899999999999999</v>
      </c>
      <c r="Z60" s="241">
        <f t="shared" si="7"/>
        <v>62.9</v>
      </c>
      <c r="AA60" s="241">
        <f t="shared" si="7"/>
        <v>99.4</v>
      </c>
      <c r="AB60" s="241">
        <f t="shared" si="7"/>
        <v>49.5</v>
      </c>
      <c r="AC60" s="241">
        <f t="shared" si="7"/>
        <v>49.5</v>
      </c>
      <c r="AD60" s="241">
        <f t="shared" si="7"/>
        <v>49.5</v>
      </c>
      <c r="AE60" s="241">
        <f t="shared" si="7"/>
        <v>49.5</v>
      </c>
      <c r="AF60" s="241">
        <f t="shared" si="7"/>
        <v>0</v>
      </c>
      <c r="AG60" s="242">
        <f t="shared" si="7"/>
        <v>106</v>
      </c>
      <c r="AH60" s="226">
        <f t="shared" si="2"/>
        <v>99.4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64.900000000000006</v>
      </c>
      <c r="C61" s="221">
        <v>55.1</v>
      </c>
      <c r="D61" s="221">
        <v>32.1</v>
      </c>
      <c r="E61" s="221">
        <v>30.4</v>
      </c>
      <c r="F61" s="221">
        <v>6</v>
      </c>
      <c r="G61" s="221">
        <v>5</v>
      </c>
      <c r="H61" s="221">
        <v>3</v>
      </c>
      <c r="I61" s="221">
        <v>-3</v>
      </c>
      <c r="J61" s="221">
        <v>10</v>
      </c>
      <c r="K61" s="221">
        <v>19.8</v>
      </c>
      <c r="L61" s="221">
        <v>16.100000000000001</v>
      </c>
      <c r="M61" s="221">
        <v>39.1</v>
      </c>
      <c r="N61" s="221">
        <v>40.200000000000003</v>
      </c>
      <c r="O61" s="221">
        <v>48.9</v>
      </c>
      <c r="P61" s="221">
        <v>45.4</v>
      </c>
      <c r="Q61" s="221">
        <v>54.5</v>
      </c>
      <c r="R61" s="221">
        <v>55.8</v>
      </c>
      <c r="S61" s="221">
        <v>63.7</v>
      </c>
      <c r="T61" s="221">
        <v>55.4</v>
      </c>
      <c r="U61" s="221">
        <v>58</v>
      </c>
      <c r="V61" s="221">
        <v>42.6</v>
      </c>
      <c r="W61" s="221">
        <v>52.1</v>
      </c>
      <c r="X61" s="221">
        <v>51.3</v>
      </c>
      <c r="Y61" s="221">
        <v>43</v>
      </c>
      <c r="Z61" s="221">
        <v>50</v>
      </c>
      <c r="AA61" s="221">
        <v>64.599999999999994</v>
      </c>
      <c r="AB61" s="221">
        <v>73</v>
      </c>
      <c r="AC61" s="221">
        <v>73</v>
      </c>
      <c r="AD61" s="221">
        <v>74</v>
      </c>
      <c r="AE61" s="221">
        <v>44</v>
      </c>
      <c r="AF61" s="221">
        <v>43</v>
      </c>
      <c r="AG61" s="230"/>
      <c r="AH61" s="226">
        <f t="shared" si="2"/>
        <v>74</v>
      </c>
      <c r="AI61" s="227">
        <f t="shared" si="3"/>
        <v>-3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-315</v>
      </c>
      <c r="C63" s="245">
        <v>-368.8</v>
      </c>
      <c r="D63" s="245">
        <v>-350</v>
      </c>
      <c r="E63" s="245">
        <v>-368.5</v>
      </c>
      <c r="F63" s="245">
        <v>-383</v>
      </c>
      <c r="G63" s="245">
        <v>-360</v>
      </c>
      <c r="H63" s="245">
        <v>-390</v>
      </c>
      <c r="I63" s="245">
        <v>-398</v>
      </c>
      <c r="J63" s="245">
        <v>-360</v>
      </c>
      <c r="K63" s="245">
        <v>-321</v>
      </c>
      <c r="L63" s="245">
        <v>-290</v>
      </c>
      <c r="M63" s="245">
        <v>-327.39999999999998</v>
      </c>
      <c r="N63" s="245">
        <v>-320.10000000000002</v>
      </c>
      <c r="O63" s="245">
        <v>-298</v>
      </c>
      <c r="P63" s="245">
        <v>-260</v>
      </c>
      <c r="Q63" s="245">
        <v>-235</v>
      </c>
      <c r="R63" s="245">
        <v>-240</v>
      </c>
      <c r="S63" s="245">
        <v>-217</v>
      </c>
      <c r="T63" s="245">
        <v>-238</v>
      </c>
      <c r="U63" s="245">
        <v>-264</v>
      </c>
      <c r="V63" s="245">
        <v>-255</v>
      </c>
      <c r="W63" s="245">
        <v>-268</v>
      </c>
      <c r="X63" s="245">
        <v>-312</v>
      </c>
      <c r="Y63" s="245">
        <v>-240.2</v>
      </c>
      <c r="Z63" s="245">
        <v>-169</v>
      </c>
      <c r="AA63" s="245">
        <v>-182</v>
      </c>
      <c r="AB63" s="245">
        <v>-187</v>
      </c>
      <c r="AC63" s="245">
        <v>-220</v>
      </c>
      <c r="AD63" s="245">
        <v>-240</v>
      </c>
      <c r="AE63" s="245">
        <v>-270</v>
      </c>
      <c r="AF63" s="245">
        <v>-300</v>
      </c>
      <c r="AG63" s="255"/>
      <c r="AH63" s="226">
        <f t="shared" si="2"/>
        <v>-169</v>
      </c>
      <c r="AI63" s="227">
        <f t="shared" si="3"/>
        <v>-398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5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5</v>
      </c>
      <c r="S66" s="257">
        <v>5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>
        <v>5</v>
      </c>
      <c r="AA66" s="257">
        <v>5</v>
      </c>
      <c r="AB66" s="257">
        <v>5</v>
      </c>
      <c r="AC66" s="257">
        <v>5</v>
      </c>
      <c r="AD66" s="257">
        <v>5</v>
      </c>
      <c r="AE66" s="257">
        <v>5</v>
      </c>
      <c r="AF66" s="257">
        <v>5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5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5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v>69.8</v>
      </c>
      <c r="C72" s="241">
        <f t="shared" ref="C72:L72" si="8">SUMIF(C61:C71,"&gt;0")</f>
        <v>60.1</v>
      </c>
      <c r="D72" s="241">
        <f t="shared" si="8"/>
        <v>37.1</v>
      </c>
      <c r="E72" s="241">
        <f t="shared" si="8"/>
        <v>35.4</v>
      </c>
      <c r="F72" s="241">
        <f t="shared" si="8"/>
        <v>11</v>
      </c>
      <c r="G72" s="241">
        <f t="shared" si="8"/>
        <v>5</v>
      </c>
      <c r="H72" s="241">
        <f t="shared" si="8"/>
        <v>3</v>
      </c>
      <c r="I72" s="241">
        <f t="shared" si="8"/>
        <v>0</v>
      </c>
      <c r="J72" s="241">
        <f t="shared" si="8"/>
        <v>10</v>
      </c>
      <c r="K72" s="241">
        <f t="shared" si="8"/>
        <v>19.8</v>
      </c>
      <c r="L72" s="241">
        <f t="shared" si="8"/>
        <v>16.100000000000001</v>
      </c>
      <c r="M72" s="241">
        <f>SUMIF(M61:M71,"&gt;0")</f>
        <v>39.1</v>
      </c>
      <c r="N72" s="241">
        <f t="shared" ref="N72:AF72" si="9">SUMIF(N61:N71,"&gt;0")</f>
        <v>45.2</v>
      </c>
      <c r="O72" s="241">
        <f t="shared" si="9"/>
        <v>48.9</v>
      </c>
      <c r="P72" s="241">
        <f t="shared" si="9"/>
        <v>45.4</v>
      </c>
      <c r="Q72" s="241">
        <f t="shared" si="9"/>
        <v>54.5</v>
      </c>
      <c r="R72" s="241">
        <f t="shared" si="9"/>
        <v>60.8</v>
      </c>
      <c r="S72" s="241">
        <f t="shared" si="9"/>
        <v>68.7</v>
      </c>
      <c r="T72" s="241">
        <f t="shared" si="9"/>
        <v>60.4</v>
      </c>
      <c r="U72" s="241">
        <f t="shared" si="9"/>
        <v>63</v>
      </c>
      <c r="V72" s="241">
        <f t="shared" si="9"/>
        <v>47.6</v>
      </c>
      <c r="W72" s="241">
        <f t="shared" si="9"/>
        <v>57.1</v>
      </c>
      <c r="X72" s="241">
        <f t="shared" si="9"/>
        <v>56.3</v>
      </c>
      <c r="Y72" s="241">
        <f t="shared" si="9"/>
        <v>48</v>
      </c>
      <c r="Z72" s="241">
        <f t="shared" si="9"/>
        <v>55</v>
      </c>
      <c r="AA72" s="241">
        <f t="shared" si="9"/>
        <v>69.599999999999994</v>
      </c>
      <c r="AB72" s="241">
        <f t="shared" si="9"/>
        <v>78</v>
      </c>
      <c r="AC72" s="241">
        <f t="shared" si="9"/>
        <v>78</v>
      </c>
      <c r="AD72" s="241">
        <f t="shared" si="9"/>
        <v>79</v>
      </c>
      <c r="AE72" s="241">
        <f t="shared" si="9"/>
        <v>49</v>
      </c>
      <c r="AF72" s="241">
        <f t="shared" si="9"/>
        <v>48</v>
      </c>
      <c r="AG72" s="261">
        <f>SUM(AG61:AG71)</f>
        <v>0</v>
      </c>
      <c r="AH72" s="226">
        <f t="shared" si="2"/>
        <v>79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v>1820.4399999999998</v>
      </c>
      <c r="C77" s="263">
        <f t="shared" ref="C77:AF77" si="10">C38+C42+C60+C56+C72+C76</f>
        <v>1841.7399999999998</v>
      </c>
      <c r="D77" s="263">
        <f t="shared" si="10"/>
        <v>1809.34</v>
      </c>
      <c r="E77" s="263">
        <f t="shared" si="10"/>
        <v>1797.8400000000001</v>
      </c>
      <c r="F77" s="263">
        <f t="shared" si="10"/>
        <v>1780.24</v>
      </c>
      <c r="G77" s="263">
        <f t="shared" si="10"/>
        <v>1779.6399999999999</v>
      </c>
      <c r="H77" s="263">
        <f t="shared" si="10"/>
        <v>1775.6399999999999</v>
      </c>
      <c r="I77" s="263">
        <f t="shared" si="10"/>
        <v>1760.9399999999998</v>
      </c>
      <c r="J77" s="263">
        <f t="shared" si="10"/>
        <v>1787.54</v>
      </c>
      <c r="K77" s="263">
        <f t="shared" si="10"/>
        <v>1797.6399999999999</v>
      </c>
      <c r="L77" s="263">
        <f t="shared" si="10"/>
        <v>1801.34</v>
      </c>
      <c r="M77" s="263">
        <f t="shared" si="10"/>
        <v>1871.7399999999998</v>
      </c>
      <c r="N77" s="263">
        <f t="shared" si="10"/>
        <v>1854.74</v>
      </c>
      <c r="O77" s="263">
        <f t="shared" si="10"/>
        <v>1910.94</v>
      </c>
      <c r="P77" s="263">
        <f t="shared" si="10"/>
        <v>1898.7400000000002</v>
      </c>
      <c r="Q77" s="263">
        <f t="shared" si="10"/>
        <v>1918.3400000000001</v>
      </c>
      <c r="R77" s="263">
        <f t="shared" si="10"/>
        <v>1964.84</v>
      </c>
      <c r="S77" s="263">
        <f t="shared" si="10"/>
        <v>1896.84</v>
      </c>
      <c r="T77" s="263">
        <f t="shared" si="10"/>
        <v>1908.54</v>
      </c>
      <c r="U77" s="263">
        <f t="shared" si="10"/>
        <v>1889.7399999999998</v>
      </c>
      <c r="V77" s="263">
        <f t="shared" si="10"/>
        <v>1865.8399999999997</v>
      </c>
      <c r="W77" s="263">
        <f t="shared" si="10"/>
        <v>1895.2399999999998</v>
      </c>
      <c r="X77" s="263">
        <f t="shared" si="10"/>
        <v>1875.6399999999999</v>
      </c>
      <c r="Y77" s="263">
        <f t="shared" si="10"/>
        <v>1829.54</v>
      </c>
      <c r="Z77" s="263">
        <f t="shared" si="10"/>
        <v>1882.54</v>
      </c>
      <c r="AA77" s="263">
        <f t="shared" si="10"/>
        <v>1933.6399999999999</v>
      </c>
      <c r="AB77" s="263">
        <f t="shared" si="10"/>
        <v>1922.1399999999999</v>
      </c>
      <c r="AC77" s="263">
        <f t="shared" si="10"/>
        <v>1922.1399999999999</v>
      </c>
      <c r="AD77" s="263">
        <f t="shared" si="10"/>
        <v>1923.1399999999999</v>
      </c>
      <c r="AE77" s="263">
        <f t="shared" si="10"/>
        <v>1893.1399999999999</v>
      </c>
      <c r="AF77" s="263">
        <f t="shared" si="10"/>
        <v>1837.6399999999999</v>
      </c>
      <c r="AG77" s="242">
        <f>AG38+AG42+AG60+AG56+AG72+AG76</f>
        <v>1855.1900000000003</v>
      </c>
      <c r="AH77" s="226">
        <f t="shared" si="2"/>
        <v>1964.84</v>
      </c>
      <c r="AI77" s="227">
        <f t="shared" si="3"/>
        <v>1760.9399999999998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v>1820.4399999999998</v>
      </c>
      <c r="C79" s="263">
        <f t="shared" ref="C79:AF79" si="11">C77+C78</f>
        <v>1841.7399999999998</v>
      </c>
      <c r="D79" s="263">
        <f t="shared" si="11"/>
        <v>1809.34</v>
      </c>
      <c r="E79" s="263">
        <f t="shared" si="11"/>
        <v>1797.8400000000001</v>
      </c>
      <c r="F79" s="263">
        <f t="shared" si="11"/>
        <v>1780.24</v>
      </c>
      <c r="G79" s="263">
        <f t="shared" si="11"/>
        <v>1779.6399999999999</v>
      </c>
      <c r="H79" s="263">
        <f t="shared" si="11"/>
        <v>1775.6399999999999</v>
      </c>
      <c r="I79" s="263">
        <f t="shared" si="11"/>
        <v>1760.9399999999998</v>
      </c>
      <c r="J79" s="263">
        <f t="shared" si="11"/>
        <v>1787.54</v>
      </c>
      <c r="K79" s="263">
        <f t="shared" si="11"/>
        <v>1797.6399999999999</v>
      </c>
      <c r="L79" s="263">
        <f t="shared" si="11"/>
        <v>1801.34</v>
      </c>
      <c r="M79" s="263">
        <f t="shared" si="11"/>
        <v>1871.7399999999998</v>
      </c>
      <c r="N79" s="263">
        <f t="shared" si="11"/>
        <v>1854.74</v>
      </c>
      <c r="O79" s="263">
        <f t="shared" si="11"/>
        <v>1910.94</v>
      </c>
      <c r="P79" s="263">
        <f t="shared" si="11"/>
        <v>1898.7400000000002</v>
      </c>
      <c r="Q79" s="263">
        <f t="shared" si="11"/>
        <v>1918.3400000000001</v>
      </c>
      <c r="R79" s="263">
        <f t="shared" si="11"/>
        <v>1964.84</v>
      </c>
      <c r="S79" s="263">
        <f t="shared" si="11"/>
        <v>1896.84</v>
      </c>
      <c r="T79" s="263">
        <f t="shared" si="11"/>
        <v>1908.54</v>
      </c>
      <c r="U79" s="263">
        <f t="shared" si="11"/>
        <v>1889.7399999999998</v>
      </c>
      <c r="V79" s="263">
        <f t="shared" si="11"/>
        <v>1865.8399999999997</v>
      </c>
      <c r="W79" s="263">
        <f t="shared" si="11"/>
        <v>1895.2399999999998</v>
      </c>
      <c r="X79" s="263">
        <f t="shared" si="11"/>
        <v>1875.6399999999999</v>
      </c>
      <c r="Y79" s="263">
        <f t="shared" si="11"/>
        <v>1829.54</v>
      </c>
      <c r="Z79" s="263">
        <f t="shared" si="11"/>
        <v>1882.54</v>
      </c>
      <c r="AA79" s="263">
        <f t="shared" si="11"/>
        <v>1933.6399999999999</v>
      </c>
      <c r="AB79" s="263">
        <f t="shared" si="11"/>
        <v>1922.1399999999999</v>
      </c>
      <c r="AC79" s="263">
        <f t="shared" si="11"/>
        <v>1922.1399999999999</v>
      </c>
      <c r="AD79" s="263">
        <f t="shared" si="11"/>
        <v>1923.1399999999999</v>
      </c>
      <c r="AE79" s="263">
        <f t="shared" si="11"/>
        <v>1893.1399999999999</v>
      </c>
      <c r="AF79" s="263">
        <f t="shared" si="11"/>
        <v>1837.6399999999999</v>
      </c>
      <c r="AG79" s="261">
        <f>AG76+AG72+AG60+AG56+AG38+AG78</f>
        <v>1317.0900000000001</v>
      </c>
      <c r="AH79" s="226">
        <f t="shared" si="2"/>
        <v>1964.84</v>
      </c>
      <c r="AI79" s="227">
        <f t="shared" si="3"/>
        <v>1760.9399999999998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v>1470.2399999999998</v>
      </c>
      <c r="C80" s="263">
        <f t="shared" ref="C80:AF80" si="12">C79-C87</f>
        <v>1472.9399999999998</v>
      </c>
      <c r="D80" s="263">
        <f t="shared" si="12"/>
        <v>1459.34</v>
      </c>
      <c r="E80" s="263">
        <f t="shared" si="12"/>
        <v>1429.3400000000001</v>
      </c>
      <c r="F80" s="263">
        <f t="shared" si="12"/>
        <v>1397.24</v>
      </c>
      <c r="G80" s="263">
        <f t="shared" si="12"/>
        <v>1419.6399999999999</v>
      </c>
      <c r="H80" s="263">
        <f t="shared" si="12"/>
        <v>1385.6399999999999</v>
      </c>
      <c r="I80" s="263">
        <f t="shared" si="12"/>
        <v>1359.9399999999998</v>
      </c>
      <c r="J80" s="263">
        <f t="shared" si="12"/>
        <v>1427.54</v>
      </c>
      <c r="K80" s="263">
        <f t="shared" si="12"/>
        <v>1476.6399999999999</v>
      </c>
      <c r="L80" s="263">
        <f t="shared" si="12"/>
        <v>1511.34</v>
      </c>
      <c r="M80" s="263">
        <f t="shared" si="12"/>
        <v>1544.3399999999997</v>
      </c>
      <c r="N80" s="263">
        <f t="shared" si="12"/>
        <v>1534.6399999999999</v>
      </c>
      <c r="O80" s="263">
        <f t="shared" si="12"/>
        <v>1612.94</v>
      </c>
      <c r="P80" s="263">
        <f t="shared" si="12"/>
        <v>1638.7400000000002</v>
      </c>
      <c r="Q80" s="263">
        <f t="shared" si="12"/>
        <v>1683.3400000000001</v>
      </c>
      <c r="R80" s="263">
        <f t="shared" si="12"/>
        <v>1724.84</v>
      </c>
      <c r="S80" s="263">
        <f t="shared" si="12"/>
        <v>1679.84</v>
      </c>
      <c r="T80" s="263">
        <f t="shared" si="12"/>
        <v>1670.54</v>
      </c>
      <c r="U80" s="263">
        <f t="shared" si="12"/>
        <v>1625.7399999999998</v>
      </c>
      <c r="V80" s="263">
        <f t="shared" si="12"/>
        <v>1610.8399999999997</v>
      </c>
      <c r="W80" s="263">
        <f t="shared" si="12"/>
        <v>1627.2399999999998</v>
      </c>
      <c r="X80" s="263">
        <f t="shared" si="12"/>
        <v>1563.6399999999999</v>
      </c>
      <c r="Y80" s="263">
        <f t="shared" si="12"/>
        <v>1589.34</v>
      </c>
      <c r="Z80" s="263">
        <f t="shared" si="12"/>
        <v>1713.54</v>
      </c>
      <c r="AA80" s="263">
        <f t="shared" si="12"/>
        <v>1751.6399999999999</v>
      </c>
      <c r="AB80" s="263">
        <f t="shared" si="12"/>
        <v>1735.1399999999999</v>
      </c>
      <c r="AC80" s="263">
        <f t="shared" si="12"/>
        <v>1702.1399999999999</v>
      </c>
      <c r="AD80" s="263">
        <f t="shared" si="12"/>
        <v>1683.1399999999999</v>
      </c>
      <c r="AE80" s="263">
        <f t="shared" si="12"/>
        <v>1623.1399999999999</v>
      </c>
      <c r="AF80" s="263">
        <f t="shared" si="12"/>
        <v>1537.6399999999999</v>
      </c>
      <c r="AG80" s="261"/>
      <c r="AH80" s="226">
        <f t="shared" ref="AH80:AH97" si="13">MAX(B80:AF80)</f>
        <v>1751.6399999999999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v>350.2</v>
      </c>
      <c r="C84" s="256">
        <f t="shared" ref="C84:AF84" si="18">IF(C63&lt;0,C63*-1,0)</f>
        <v>368.8</v>
      </c>
      <c r="D84" s="256">
        <f t="shared" si="18"/>
        <v>350</v>
      </c>
      <c r="E84" s="256">
        <f t="shared" si="18"/>
        <v>368.5</v>
      </c>
      <c r="F84" s="256">
        <f t="shared" si="18"/>
        <v>383</v>
      </c>
      <c r="G84" s="256">
        <f t="shared" si="18"/>
        <v>360</v>
      </c>
      <c r="H84" s="256">
        <f t="shared" si="18"/>
        <v>390</v>
      </c>
      <c r="I84" s="256">
        <f t="shared" si="18"/>
        <v>398</v>
      </c>
      <c r="J84" s="256">
        <f t="shared" si="18"/>
        <v>360</v>
      </c>
      <c r="K84" s="256">
        <f t="shared" si="18"/>
        <v>321</v>
      </c>
      <c r="L84" s="256">
        <f t="shared" si="18"/>
        <v>290</v>
      </c>
      <c r="M84" s="256">
        <f t="shared" si="18"/>
        <v>327.39999999999998</v>
      </c>
      <c r="N84" s="256">
        <f t="shared" si="18"/>
        <v>320.10000000000002</v>
      </c>
      <c r="O84" s="256">
        <f t="shared" si="18"/>
        <v>298</v>
      </c>
      <c r="P84" s="256">
        <f t="shared" si="18"/>
        <v>260</v>
      </c>
      <c r="Q84" s="256">
        <f t="shared" si="18"/>
        <v>235</v>
      </c>
      <c r="R84" s="256">
        <f t="shared" si="18"/>
        <v>240</v>
      </c>
      <c r="S84" s="256">
        <f t="shared" si="18"/>
        <v>217</v>
      </c>
      <c r="T84" s="256">
        <f t="shared" si="18"/>
        <v>238</v>
      </c>
      <c r="U84" s="256">
        <f t="shared" si="18"/>
        <v>264</v>
      </c>
      <c r="V84" s="256">
        <f t="shared" si="18"/>
        <v>255</v>
      </c>
      <c r="W84" s="256">
        <f t="shared" si="18"/>
        <v>268</v>
      </c>
      <c r="X84" s="256">
        <f t="shared" si="18"/>
        <v>312</v>
      </c>
      <c r="Y84" s="256">
        <f t="shared" si="18"/>
        <v>240.2</v>
      </c>
      <c r="Z84" s="256">
        <f t="shared" si="18"/>
        <v>169</v>
      </c>
      <c r="AA84" s="256">
        <f t="shared" si="18"/>
        <v>182</v>
      </c>
      <c r="AB84" s="256">
        <f t="shared" si="18"/>
        <v>187</v>
      </c>
      <c r="AC84" s="256">
        <f t="shared" si="18"/>
        <v>220</v>
      </c>
      <c r="AD84" s="256">
        <f t="shared" si="18"/>
        <v>240</v>
      </c>
      <c r="AE84" s="256">
        <f t="shared" si="18"/>
        <v>270</v>
      </c>
      <c r="AF84" s="256">
        <f t="shared" si="18"/>
        <v>300</v>
      </c>
      <c r="AG84" s="266"/>
      <c r="AH84" s="226">
        <f t="shared" si="13"/>
        <v>398</v>
      </c>
      <c r="AI84" s="227">
        <f t="shared" si="15"/>
        <v>169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3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3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v>350.2</v>
      </c>
      <c r="C87" s="241">
        <f t="shared" ref="C87:AF87" si="20">SUM(C81:C86)</f>
        <v>368.8</v>
      </c>
      <c r="D87" s="241">
        <f t="shared" si="20"/>
        <v>350</v>
      </c>
      <c r="E87" s="241">
        <f t="shared" si="20"/>
        <v>368.5</v>
      </c>
      <c r="F87" s="241">
        <f t="shared" si="20"/>
        <v>383</v>
      </c>
      <c r="G87" s="241">
        <f t="shared" si="20"/>
        <v>360</v>
      </c>
      <c r="H87" s="241">
        <f t="shared" si="20"/>
        <v>390</v>
      </c>
      <c r="I87" s="241">
        <f t="shared" si="20"/>
        <v>401</v>
      </c>
      <c r="J87" s="241">
        <f t="shared" si="20"/>
        <v>360</v>
      </c>
      <c r="K87" s="241">
        <f t="shared" si="20"/>
        <v>321</v>
      </c>
      <c r="L87" s="241">
        <f t="shared" si="20"/>
        <v>290</v>
      </c>
      <c r="M87" s="241">
        <f t="shared" si="20"/>
        <v>327.39999999999998</v>
      </c>
      <c r="N87" s="241">
        <f t="shared" si="20"/>
        <v>320.10000000000002</v>
      </c>
      <c r="O87" s="241">
        <f t="shared" si="20"/>
        <v>298</v>
      </c>
      <c r="P87" s="241">
        <f t="shared" si="20"/>
        <v>260</v>
      </c>
      <c r="Q87" s="241">
        <f t="shared" si="20"/>
        <v>235</v>
      </c>
      <c r="R87" s="241">
        <f t="shared" si="20"/>
        <v>240</v>
      </c>
      <c r="S87" s="241">
        <f t="shared" si="20"/>
        <v>217</v>
      </c>
      <c r="T87" s="241">
        <f t="shared" si="20"/>
        <v>238</v>
      </c>
      <c r="U87" s="241">
        <f t="shared" si="20"/>
        <v>264</v>
      </c>
      <c r="V87" s="241">
        <f t="shared" si="20"/>
        <v>255</v>
      </c>
      <c r="W87" s="241">
        <f t="shared" si="20"/>
        <v>268</v>
      </c>
      <c r="X87" s="241">
        <f t="shared" si="20"/>
        <v>312</v>
      </c>
      <c r="Y87" s="241">
        <f t="shared" si="20"/>
        <v>240.2</v>
      </c>
      <c r="Z87" s="241">
        <f t="shared" si="20"/>
        <v>169</v>
      </c>
      <c r="AA87" s="241">
        <f t="shared" si="20"/>
        <v>182</v>
      </c>
      <c r="AB87" s="241">
        <f t="shared" si="20"/>
        <v>187</v>
      </c>
      <c r="AC87" s="241">
        <f t="shared" si="20"/>
        <v>220</v>
      </c>
      <c r="AD87" s="241">
        <f t="shared" si="20"/>
        <v>240</v>
      </c>
      <c r="AE87" s="241">
        <f t="shared" si="20"/>
        <v>270</v>
      </c>
      <c r="AF87" s="241">
        <f t="shared" si="20"/>
        <v>300</v>
      </c>
      <c r="AG87" s="261"/>
      <c r="AH87" s="226">
        <f t="shared" si="13"/>
        <v>401</v>
      </c>
      <c r="AI87" s="227">
        <f t="shared" si="15"/>
        <v>169</v>
      </c>
      <c r="AK87" s="228"/>
    </row>
    <row r="88" spans="1:88" s="175" customFormat="1" ht="15.75" thickBot="1" x14ac:dyDescent="0.3">
      <c r="A88" s="254" t="s">
        <v>93</v>
      </c>
      <c r="B88" s="241">
        <v>-280.39999999999998</v>
      </c>
      <c r="C88" s="241">
        <f t="shared" ref="C88:AF88" si="21">C72-C87</f>
        <v>-308.7</v>
      </c>
      <c r="D88" s="241">
        <f t="shared" si="21"/>
        <v>-312.89999999999998</v>
      </c>
      <c r="E88" s="241">
        <f t="shared" si="21"/>
        <v>-333.1</v>
      </c>
      <c r="F88" s="241">
        <f t="shared" si="21"/>
        <v>-372</v>
      </c>
      <c r="G88" s="241">
        <f t="shared" si="21"/>
        <v>-355</v>
      </c>
      <c r="H88" s="241">
        <f t="shared" si="21"/>
        <v>-387</v>
      </c>
      <c r="I88" s="241">
        <f t="shared" si="21"/>
        <v>-401</v>
      </c>
      <c r="J88" s="241">
        <f t="shared" si="21"/>
        <v>-350</v>
      </c>
      <c r="K88" s="241">
        <f t="shared" si="21"/>
        <v>-301.2</v>
      </c>
      <c r="L88" s="241">
        <f t="shared" si="21"/>
        <v>-273.89999999999998</v>
      </c>
      <c r="M88" s="241">
        <f t="shared" si="21"/>
        <v>-288.29999999999995</v>
      </c>
      <c r="N88" s="241">
        <f t="shared" si="21"/>
        <v>-274.90000000000003</v>
      </c>
      <c r="O88" s="241">
        <f t="shared" si="21"/>
        <v>-249.1</v>
      </c>
      <c r="P88" s="241">
        <f t="shared" si="21"/>
        <v>-214.6</v>
      </c>
      <c r="Q88" s="241">
        <f t="shared" si="21"/>
        <v>-180.5</v>
      </c>
      <c r="R88" s="241">
        <f t="shared" si="21"/>
        <v>-179.2</v>
      </c>
      <c r="S88" s="241">
        <f t="shared" si="21"/>
        <v>-148.30000000000001</v>
      </c>
      <c r="T88" s="241">
        <f t="shared" si="21"/>
        <v>-177.6</v>
      </c>
      <c r="U88" s="241">
        <f t="shared" si="21"/>
        <v>-201</v>
      </c>
      <c r="V88" s="241">
        <f t="shared" si="21"/>
        <v>-207.4</v>
      </c>
      <c r="W88" s="241">
        <f t="shared" si="21"/>
        <v>-210.9</v>
      </c>
      <c r="X88" s="241">
        <f t="shared" si="21"/>
        <v>-255.7</v>
      </c>
      <c r="Y88" s="241">
        <f t="shared" si="21"/>
        <v>-192.2</v>
      </c>
      <c r="Z88" s="241">
        <f t="shared" si="21"/>
        <v>-114</v>
      </c>
      <c r="AA88" s="241">
        <f t="shared" si="21"/>
        <v>-112.4</v>
      </c>
      <c r="AB88" s="241">
        <f t="shared" si="21"/>
        <v>-109</v>
      </c>
      <c r="AC88" s="241">
        <f t="shared" si="21"/>
        <v>-142</v>
      </c>
      <c r="AD88" s="241">
        <f t="shared" si="21"/>
        <v>-161</v>
      </c>
      <c r="AE88" s="241">
        <f t="shared" si="21"/>
        <v>-221</v>
      </c>
      <c r="AF88" s="241">
        <f t="shared" si="21"/>
        <v>-252</v>
      </c>
      <c r="AG88" s="261"/>
      <c r="AH88" s="226">
        <f t="shared" si="13"/>
        <v>-109</v>
      </c>
      <c r="AI88" s="227">
        <f t="shared" si="15"/>
        <v>-401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50.058</v>
      </c>
      <c r="C89" s="269">
        <v>50.015000000000001</v>
      </c>
      <c r="D89" s="269">
        <v>50.064</v>
      </c>
      <c r="E89" s="269">
        <v>50.052999999999997</v>
      </c>
      <c r="F89" s="269">
        <v>50.064</v>
      </c>
      <c r="G89" s="269">
        <v>50.006999999999998</v>
      </c>
      <c r="H89" s="269">
        <v>49.966999999999999</v>
      </c>
      <c r="I89" s="269">
        <v>50.024999999999999</v>
      </c>
      <c r="J89" s="269">
        <v>49.987000000000002</v>
      </c>
      <c r="K89" s="269">
        <v>50.055999999999997</v>
      </c>
      <c r="L89" s="269">
        <v>50.018000000000001</v>
      </c>
      <c r="M89" s="269">
        <v>50.078000000000003</v>
      </c>
      <c r="N89" s="269">
        <v>49.973999999999997</v>
      </c>
      <c r="O89" s="269">
        <v>50.055999999999997</v>
      </c>
      <c r="P89" s="269">
        <v>49.91</v>
      </c>
      <c r="Q89" s="269">
        <v>50.03</v>
      </c>
      <c r="R89" s="269">
        <v>50.03</v>
      </c>
      <c r="S89" s="269">
        <v>50.045000000000002</v>
      </c>
      <c r="T89" s="269">
        <v>50.027999999999999</v>
      </c>
      <c r="U89" s="269">
        <v>49.960999999999999</v>
      </c>
      <c r="V89" s="269">
        <v>49.927</v>
      </c>
      <c r="W89" s="269">
        <v>49.982999999999997</v>
      </c>
      <c r="X89" s="269">
        <v>50.01</v>
      </c>
      <c r="Y89" s="269">
        <v>50.024999999999999</v>
      </c>
      <c r="Z89" s="269">
        <v>49.929000000000002</v>
      </c>
      <c r="AA89" s="269">
        <v>49.966000000000001</v>
      </c>
      <c r="AB89" s="269">
        <v>50.045000000000002</v>
      </c>
      <c r="AC89" s="269">
        <v>50.05</v>
      </c>
      <c r="AD89" s="269">
        <v>50.05</v>
      </c>
      <c r="AE89" s="269">
        <v>50.07</v>
      </c>
      <c r="AF89" s="269">
        <v>50.042999999999999</v>
      </c>
      <c r="AG89" s="270"/>
      <c r="AH89" s="226">
        <f t="shared" si="13"/>
        <v>50.078000000000003</v>
      </c>
      <c r="AI89" s="227">
        <f t="shared" si="15"/>
        <v>49.91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123.1</v>
      </c>
      <c r="C90" s="245">
        <v>123.5</v>
      </c>
      <c r="D90" s="245">
        <v>123.8</v>
      </c>
      <c r="E90" s="245">
        <v>123.9</v>
      </c>
      <c r="F90" s="245">
        <v>124.1</v>
      </c>
      <c r="G90" s="245">
        <v>123.7</v>
      </c>
      <c r="H90" s="245">
        <v>124.7</v>
      </c>
      <c r="I90" s="245">
        <v>125.2</v>
      </c>
      <c r="J90" s="245">
        <v>124.1</v>
      </c>
      <c r="K90" s="245">
        <v>123.4</v>
      </c>
      <c r="L90" s="245">
        <v>122.8</v>
      </c>
      <c r="M90" s="245">
        <v>122.8</v>
      </c>
      <c r="N90" s="245">
        <v>123</v>
      </c>
      <c r="O90" s="245">
        <v>121.9</v>
      </c>
      <c r="P90" s="245">
        <v>121.5</v>
      </c>
      <c r="Q90" s="245">
        <v>121.9</v>
      </c>
      <c r="R90" s="245">
        <v>123.4</v>
      </c>
      <c r="S90" s="245">
        <v>123.7</v>
      </c>
      <c r="T90" s="245">
        <v>123</v>
      </c>
      <c r="U90" s="245">
        <v>123.1</v>
      </c>
      <c r="V90" s="245">
        <v>123</v>
      </c>
      <c r="W90" s="245">
        <v>124</v>
      </c>
      <c r="X90" s="245">
        <v>124.4</v>
      </c>
      <c r="Y90" s="245">
        <v>126.1</v>
      </c>
      <c r="Z90" s="245">
        <v>124.9</v>
      </c>
      <c r="AA90" s="245">
        <v>125.4</v>
      </c>
      <c r="AB90" s="245">
        <v>125</v>
      </c>
      <c r="AC90" s="245">
        <v>125</v>
      </c>
      <c r="AD90" s="245">
        <v>125</v>
      </c>
      <c r="AE90" s="245">
        <v>124</v>
      </c>
      <c r="AF90" s="245">
        <v>121</v>
      </c>
      <c r="AG90" s="272"/>
      <c r="AH90" s="226">
        <f t="shared" si="13"/>
        <v>126.1</v>
      </c>
      <c r="AI90" s="227">
        <f t="shared" si="15"/>
        <v>121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127.8</v>
      </c>
      <c r="C91" s="245">
        <v>128.19999999999999</v>
      </c>
      <c r="D91" s="245">
        <v>128.4</v>
      </c>
      <c r="E91" s="245">
        <v>128.30000000000001</v>
      </c>
      <c r="F91" s="245">
        <v>128.30000000000001</v>
      </c>
      <c r="G91" s="245">
        <v>128.1</v>
      </c>
      <c r="H91" s="245">
        <v>128.19999999999999</v>
      </c>
      <c r="I91" s="245">
        <v>128.19999999999999</v>
      </c>
      <c r="J91" s="245">
        <v>127.2</v>
      </c>
      <c r="K91" s="245">
        <v>126.5</v>
      </c>
      <c r="L91" s="245">
        <v>126.1</v>
      </c>
      <c r="M91" s="245">
        <v>126.1</v>
      </c>
      <c r="N91" s="245">
        <v>126.3</v>
      </c>
      <c r="O91" s="245">
        <v>125.7</v>
      </c>
      <c r="P91" s="245">
        <v>125.4</v>
      </c>
      <c r="Q91" s="245">
        <v>125.3</v>
      </c>
      <c r="R91" s="245">
        <v>126.7</v>
      </c>
      <c r="S91" s="245">
        <v>126.5</v>
      </c>
      <c r="T91" s="245">
        <v>126.4</v>
      </c>
      <c r="U91" s="245">
        <v>126.1</v>
      </c>
      <c r="V91" s="245">
        <v>126.3</v>
      </c>
      <c r="W91" s="245">
        <v>128</v>
      </c>
      <c r="X91" s="245">
        <v>127.2</v>
      </c>
      <c r="Y91" s="245">
        <v>129.69999999999999</v>
      </c>
      <c r="Z91" s="245">
        <v>128.6</v>
      </c>
      <c r="AA91" s="245">
        <v>129.4</v>
      </c>
      <c r="AB91" s="245">
        <v>129</v>
      </c>
      <c r="AC91" s="245">
        <v>129</v>
      </c>
      <c r="AD91" s="245">
        <v>129</v>
      </c>
      <c r="AE91" s="245">
        <v>128</v>
      </c>
      <c r="AF91" s="245">
        <v>126</v>
      </c>
      <c r="AG91" s="272"/>
      <c r="AH91" s="226">
        <f t="shared" si="13"/>
        <v>129.69999999999999</v>
      </c>
      <c r="AI91" s="227">
        <f t="shared" si="15"/>
        <v>125.3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129.9</v>
      </c>
      <c r="C92" s="245">
        <v>130.4</v>
      </c>
      <c r="D92" s="245">
        <v>131.6</v>
      </c>
      <c r="E92" s="245">
        <v>131.1</v>
      </c>
      <c r="F92" s="245">
        <v>130.4</v>
      </c>
      <c r="G92" s="245">
        <v>131.6</v>
      </c>
      <c r="H92" s="245">
        <v>130.9</v>
      </c>
      <c r="I92" s="245">
        <v>130.4</v>
      </c>
      <c r="J92" s="245">
        <v>127.7</v>
      </c>
      <c r="K92" s="245">
        <v>129</v>
      </c>
      <c r="L92" s="245">
        <v>128.69999999999999</v>
      </c>
      <c r="M92" s="245">
        <v>128.69999999999999</v>
      </c>
      <c r="N92" s="245">
        <v>129.30000000000001</v>
      </c>
      <c r="O92" s="245">
        <v>127.7</v>
      </c>
      <c r="P92" s="245">
        <v>128.4</v>
      </c>
      <c r="Q92" s="245">
        <v>131.19999999999999</v>
      </c>
      <c r="R92" s="245"/>
      <c r="S92" s="245">
        <v>127.5</v>
      </c>
      <c r="T92" s="245">
        <v>128</v>
      </c>
      <c r="U92" s="245">
        <v>129</v>
      </c>
      <c r="V92" s="245">
        <v>131.1</v>
      </c>
      <c r="W92" s="245">
        <v>131</v>
      </c>
      <c r="X92" s="245">
        <v>130.6</v>
      </c>
      <c r="Y92" s="245">
        <v>128.9</v>
      </c>
      <c r="Z92" s="245">
        <v>128.19999999999999</v>
      </c>
      <c r="AA92" s="245">
        <v>130.5</v>
      </c>
      <c r="AB92" s="245">
        <v>128</v>
      </c>
      <c r="AC92" s="245">
        <v>128</v>
      </c>
      <c r="AD92" s="245">
        <v>128</v>
      </c>
      <c r="AE92" s="245">
        <v>131</v>
      </c>
      <c r="AF92" s="245">
        <v>129</v>
      </c>
      <c r="AG92" s="272"/>
      <c r="AH92" s="226">
        <f t="shared" si="13"/>
        <v>131.6</v>
      </c>
      <c r="AI92" s="227">
        <f t="shared" si="15"/>
        <v>127.5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>
        <v>132.30000000000001</v>
      </c>
      <c r="AB93" s="245">
        <v>129</v>
      </c>
      <c r="AC93" s="245">
        <v>129</v>
      </c>
      <c r="AD93" s="245">
        <v>129</v>
      </c>
      <c r="AE93" s="245">
        <v>133</v>
      </c>
      <c r="AF93" s="245">
        <v>133</v>
      </c>
      <c r="AG93" s="272"/>
      <c r="AH93" s="226">
        <f t="shared" si="13"/>
        <v>133</v>
      </c>
      <c r="AI93" s="227">
        <f t="shared" si="15"/>
        <v>129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134.30000000000001</v>
      </c>
      <c r="C94" s="274">
        <v>134.30000000000001</v>
      </c>
      <c r="D94" s="274">
        <v>133.1</v>
      </c>
      <c r="E94" s="274">
        <v>131.19999999999999</v>
      </c>
      <c r="F94" s="274">
        <v>127.7</v>
      </c>
      <c r="G94" s="274">
        <v>133.5</v>
      </c>
      <c r="H94" s="274">
        <v>131.80000000000001</v>
      </c>
      <c r="I94" s="274">
        <v>134.30000000000001</v>
      </c>
      <c r="J94" s="274">
        <v>133.30000000000001</v>
      </c>
      <c r="K94" s="274">
        <v>135</v>
      </c>
      <c r="L94" s="274">
        <v>131.69999999999999</v>
      </c>
      <c r="M94" s="274">
        <v>131.69999999999999</v>
      </c>
      <c r="N94" s="274">
        <v>136.19999999999999</v>
      </c>
      <c r="O94" s="274">
        <v>131.4</v>
      </c>
      <c r="P94" s="274">
        <v>134.5</v>
      </c>
      <c r="Q94" s="274">
        <v>134.1</v>
      </c>
      <c r="R94" s="274"/>
      <c r="S94" s="274">
        <v>133.5</v>
      </c>
      <c r="T94" s="274">
        <v>133.19999999999999</v>
      </c>
      <c r="U94" s="274">
        <v>133</v>
      </c>
      <c r="V94" s="274">
        <v>133.80000000000001</v>
      </c>
      <c r="W94" s="274">
        <v>134</v>
      </c>
      <c r="X94" s="274">
        <v>131.69999999999999</v>
      </c>
      <c r="Y94" s="274">
        <v>134.69999999999999</v>
      </c>
      <c r="Z94" s="274">
        <v>132.30000000000001</v>
      </c>
      <c r="AA94" s="274">
        <v>135.19999999999999</v>
      </c>
      <c r="AB94" s="274">
        <v>135</v>
      </c>
      <c r="AC94" s="274">
        <v>135</v>
      </c>
      <c r="AD94" s="274">
        <v>135</v>
      </c>
      <c r="AE94" s="274">
        <v>132</v>
      </c>
      <c r="AF94" s="274">
        <v>130</v>
      </c>
      <c r="AG94" s="275"/>
      <c r="AH94" s="226">
        <f t="shared" si="13"/>
        <v>136.19999999999999</v>
      </c>
      <c r="AI94" s="227">
        <f t="shared" si="15"/>
        <v>127.7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132.9</v>
      </c>
      <c r="C95" s="245">
        <v>132.80000000000001</v>
      </c>
      <c r="D95" s="245">
        <v>132</v>
      </c>
      <c r="E95" s="245">
        <v>130.1</v>
      </c>
      <c r="F95" s="245">
        <v>126</v>
      </c>
      <c r="G95" s="245">
        <v>133.1</v>
      </c>
      <c r="H95" s="245">
        <v>129.69999999999999</v>
      </c>
      <c r="I95" s="245">
        <v>134.6</v>
      </c>
      <c r="J95" s="245">
        <v>132.30000000000001</v>
      </c>
      <c r="K95" s="245">
        <v>131.80000000000001</v>
      </c>
      <c r="L95" s="245">
        <v>132</v>
      </c>
      <c r="M95" s="245">
        <v>132</v>
      </c>
      <c r="N95" s="245">
        <v>129.9</v>
      </c>
      <c r="O95" s="245">
        <v>126.5</v>
      </c>
      <c r="P95" s="245">
        <v>130.4</v>
      </c>
      <c r="Q95" s="245">
        <v>126.6</v>
      </c>
      <c r="R95" s="245"/>
      <c r="S95" s="245">
        <v>131.30000000000001</v>
      </c>
      <c r="T95" s="245">
        <v>130.19999999999999</v>
      </c>
      <c r="U95" s="245">
        <v>131</v>
      </c>
      <c r="V95" s="245">
        <v>129.5</v>
      </c>
      <c r="W95" s="245">
        <v>129</v>
      </c>
      <c r="X95" s="245">
        <v>128.30000000000001</v>
      </c>
      <c r="Y95" s="245">
        <v>129.69999999999999</v>
      </c>
      <c r="Z95" s="245">
        <v>126.3</v>
      </c>
      <c r="AA95" s="245">
        <v>131.69999999999999</v>
      </c>
      <c r="AB95" s="245">
        <v>125</v>
      </c>
      <c r="AC95" s="245">
        <v>125</v>
      </c>
      <c r="AD95" s="245">
        <v>125</v>
      </c>
      <c r="AE95" s="245">
        <v>127</v>
      </c>
      <c r="AF95" s="245">
        <v>129</v>
      </c>
      <c r="AG95" s="272"/>
      <c r="AH95" s="226">
        <f t="shared" si="13"/>
        <v>134.6</v>
      </c>
      <c r="AI95" s="227">
        <f t="shared" si="15"/>
        <v>125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64.8</v>
      </c>
      <c r="C96" s="276">
        <v>65</v>
      </c>
      <c r="D96" s="276">
        <v>65.2</v>
      </c>
      <c r="E96" s="276">
        <v>65.099999999999994</v>
      </c>
      <c r="F96" s="276">
        <v>65.099999999999994</v>
      </c>
      <c r="G96" s="276">
        <v>64.900000000000006</v>
      </c>
      <c r="H96" s="276">
        <v>64.900000000000006</v>
      </c>
      <c r="I96" s="276">
        <v>64.8</v>
      </c>
      <c r="J96" s="276">
        <v>64.5</v>
      </c>
      <c r="K96" s="276">
        <v>64.099999999999994</v>
      </c>
      <c r="L96" s="276">
        <v>63.8</v>
      </c>
      <c r="M96" s="276">
        <v>63.8</v>
      </c>
      <c r="N96" s="276">
        <v>64.099999999999994</v>
      </c>
      <c r="O96" s="276">
        <v>63.4</v>
      </c>
      <c r="P96" s="276">
        <v>63.3</v>
      </c>
      <c r="Q96" s="276">
        <v>63.5</v>
      </c>
      <c r="R96" s="276"/>
      <c r="S96" s="276">
        <v>63.8</v>
      </c>
      <c r="T96" s="276">
        <v>64</v>
      </c>
      <c r="U96" s="276">
        <v>64</v>
      </c>
      <c r="V96" s="276">
        <v>63.7</v>
      </c>
      <c r="W96" s="276">
        <v>65</v>
      </c>
      <c r="X96" s="276">
        <v>64.599999999999994</v>
      </c>
      <c r="Y96" s="276">
        <v>65.599999999999994</v>
      </c>
      <c r="Z96" s="276">
        <v>64.900000000000006</v>
      </c>
      <c r="AA96" s="276">
        <v>65.400000000000006</v>
      </c>
      <c r="AB96" s="276">
        <v>65.8</v>
      </c>
      <c r="AC96" s="276">
        <v>65.8</v>
      </c>
      <c r="AD96" s="276">
        <v>65.8</v>
      </c>
      <c r="AE96" s="276">
        <v>65.099999999999994</v>
      </c>
      <c r="AF96" s="276">
        <v>64</v>
      </c>
      <c r="AG96" s="277"/>
      <c r="AH96" s="226">
        <f t="shared" si="13"/>
        <v>65.8</v>
      </c>
      <c r="AI96" s="227">
        <f t="shared" si="15"/>
        <v>63.3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v>81.099999999999952</v>
      </c>
      <c r="C98" s="280">
        <f t="shared" ref="C98:AF98" si="22">SUM(C15,C18,C21:C22,C46,C48:C49,C51,C53,C99:C102,C124,C130,C136,C145,C147,C159,C166,C169:C170,C177,C179,C181,C185:C187,C189:C191,C196,C202:C203,C205:C207,C215,C220)</f>
        <v>69.439999999999984</v>
      </c>
      <c r="D98" s="280">
        <f t="shared" si="22"/>
        <v>63.539999999999992</v>
      </c>
      <c r="E98" s="280">
        <f t="shared" si="22"/>
        <v>28.040000000000006</v>
      </c>
      <c r="F98" s="280">
        <f t="shared" si="22"/>
        <v>36.139999999999972</v>
      </c>
      <c r="G98" s="280">
        <f t="shared" si="22"/>
        <v>70.539999999999992</v>
      </c>
      <c r="H98" s="280">
        <f t="shared" si="22"/>
        <v>82.039999999999992</v>
      </c>
      <c r="I98" s="280">
        <f t="shared" si="22"/>
        <v>104.24</v>
      </c>
      <c r="J98" s="280">
        <f t="shared" si="22"/>
        <v>136.94000000000003</v>
      </c>
      <c r="K98" s="280">
        <f t="shared" si="22"/>
        <v>155.34000000000003</v>
      </c>
      <c r="L98" s="280">
        <f t="shared" si="22"/>
        <v>174.44000000000003</v>
      </c>
      <c r="M98" s="280">
        <f t="shared" si="22"/>
        <v>172.24</v>
      </c>
      <c r="N98" s="280">
        <f t="shared" si="22"/>
        <v>172.24</v>
      </c>
      <c r="O98" s="280">
        <f t="shared" si="22"/>
        <v>186.64000000000004</v>
      </c>
      <c r="P98" s="280">
        <f t="shared" si="22"/>
        <v>178.04000000000002</v>
      </c>
      <c r="Q98" s="280">
        <f t="shared" si="22"/>
        <v>262</v>
      </c>
      <c r="R98" s="280">
        <f t="shared" si="22"/>
        <v>202.9</v>
      </c>
      <c r="S98" s="280">
        <f t="shared" si="22"/>
        <v>202.39999999999998</v>
      </c>
      <c r="T98" s="280">
        <f t="shared" si="22"/>
        <v>183.3</v>
      </c>
      <c r="U98" s="280">
        <f t="shared" si="22"/>
        <v>213.9</v>
      </c>
      <c r="V98" s="280">
        <f t="shared" si="22"/>
        <v>213</v>
      </c>
      <c r="W98" s="280">
        <f t="shared" si="22"/>
        <v>196.6</v>
      </c>
      <c r="X98" s="280">
        <f t="shared" si="22"/>
        <v>207.7</v>
      </c>
      <c r="Y98" s="280">
        <f t="shared" si="22"/>
        <v>229.39999999999998</v>
      </c>
      <c r="Z98" s="280">
        <f t="shared" si="22"/>
        <v>267.10000000000002</v>
      </c>
      <c r="AA98" s="280">
        <f t="shared" si="22"/>
        <v>277.29999999999995</v>
      </c>
      <c r="AB98" s="280">
        <f t="shared" si="22"/>
        <v>251.60000000000002</v>
      </c>
      <c r="AC98" s="280">
        <f t="shared" si="22"/>
        <v>175.6</v>
      </c>
      <c r="AD98" s="280">
        <f t="shared" si="22"/>
        <v>121.6</v>
      </c>
      <c r="AE98" s="280">
        <f t="shared" si="22"/>
        <v>100.6</v>
      </c>
      <c r="AF98" s="280">
        <f t="shared" si="22"/>
        <v>65.599999999999994</v>
      </c>
      <c r="AG98" s="281"/>
      <c r="AH98" s="226">
        <f>MAX(C98:AF98)</f>
        <v>277.29999999999995</v>
      </c>
      <c r="AI98" s="227">
        <f>MIN(C98:AF98)</f>
        <v>28.040000000000006</v>
      </c>
    </row>
    <row r="99" spans="1:37" x14ac:dyDescent="0.25">
      <c r="A99" s="268" t="s">
        <v>103</v>
      </c>
      <c r="B99" s="282">
        <v>23.3</v>
      </c>
      <c r="C99" s="282">
        <v>24.6</v>
      </c>
      <c r="D99" s="282">
        <v>19.600000000000001</v>
      </c>
      <c r="E99" s="282">
        <v>21.5</v>
      </c>
      <c r="F99" s="282">
        <v>16.2</v>
      </c>
      <c r="G99" s="282">
        <v>16</v>
      </c>
      <c r="H99" s="282">
        <v>21.1</v>
      </c>
      <c r="I99" s="282">
        <v>23</v>
      </c>
      <c r="J99" s="282">
        <v>28</v>
      </c>
      <c r="K99" s="282">
        <v>28.8</v>
      </c>
      <c r="L99" s="282">
        <v>26.4</v>
      </c>
      <c r="M99" s="282">
        <v>28.7</v>
      </c>
      <c r="N99" s="282">
        <v>28.7</v>
      </c>
      <c r="O99" s="282">
        <v>31.8</v>
      </c>
      <c r="P99" s="282">
        <v>31.9</v>
      </c>
      <c r="Q99" s="282">
        <f>50.1+29.3</f>
        <v>79.400000000000006</v>
      </c>
      <c r="R99" s="282"/>
      <c r="S99" s="282">
        <v>16.2</v>
      </c>
      <c r="T99" s="282">
        <v>22.4</v>
      </c>
      <c r="U99" s="282">
        <v>14.3</v>
      </c>
      <c r="V99" s="282">
        <v>24.5</v>
      </c>
      <c r="W99" s="282">
        <v>27</v>
      </c>
      <c r="X99" s="282">
        <v>27.1</v>
      </c>
      <c r="Y99" s="282">
        <v>28.3</v>
      </c>
      <c r="Z99" s="282">
        <v>21.5</v>
      </c>
      <c r="AA99" s="282">
        <v>19.2</v>
      </c>
      <c r="AB99" s="282">
        <v>66</v>
      </c>
      <c r="AC99" s="282">
        <v>40</v>
      </c>
      <c r="AD99" s="282">
        <v>26</v>
      </c>
      <c r="AE99" s="282">
        <v>21</v>
      </c>
      <c r="AF99" s="282">
        <v>22</v>
      </c>
      <c r="AG99" s="283">
        <v>75</v>
      </c>
      <c r="AH99" s="226">
        <f t="shared" ref="AH99:AH106" si="23">IF(ABS(MAX(C99:AF99))&gt;ABS(MIN(C99:AF99)),MAX(C99:AF99),MIN(C99:AF99))</f>
        <v>79.400000000000006</v>
      </c>
      <c r="AI99" s="284">
        <f t="shared" ref="AI99:AI106" si="24">INDEX($C$9:$AF$9,1,MATCH(AH99,C99:AF99,0))</f>
        <v>0.5</v>
      </c>
    </row>
    <row r="100" spans="1:37" x14ac:dyDescent="0.25">
      <c r="A100" s="271" t="s">
        <v>104</v>
      </c>
      <c r="B100" s="285">
        <v>-130.5</v>
      </c>
      <c r="C100" s="285">
        <v>-145.5</v>
      </c>
      <c r="D100" s="285">
        <v>-130.5</v>
      </c>
      <c r="E100" s="285">
        <v>-155.9</v>
      </c>
      <c r="F100" s="285">
        <v>-145</v>
      </c>
      <c r="G100" s="285">
        <v>-124</v>
      </c>
      <c r="H100" s="285">
        <v>-120</v>
      </c>
      <c r="I100" s="285">
        <v>-100</v>
      </c>
      <c r="J100" s="285">
        <v>-80</v>
      </c>
      <c r="K100" s="285">
        <v>-65</v>
      </c>
      <c r="L100" s="285">
        <v>-60</v>
      </c>
      <c r="M100" s="285">
        <v>-108</v>
      </c>
      <c r="N100" s="285">
        <v>-108</v>
      </c>
      <c r="O100" s="285">
        <v>-114</v>
      </c>
      <c r="P100" s="285">
        <v>-120</v>
      </c>
      <c r="Q100" s="285">
        <f>-40.7-48.9</f>
        <v>-89.6</v>
      </c>
      <c r="R100" s="285"/>
      <c r="S100" s="285">
        <f>-34-42.2</f>
        <v>-76.2</v>
      </c>
      <c r="T100" s="285">
        <f>-40.2-50.2</f>
        <v>-90.4</v>
      </c>
      <c r="U100" s="285">
        <f>-33-42</f>
        <v>-75</v>
      </c>
      <c r="V100" s="285">
        <f>-40-45</f>
        <v>-85</v>
      </c>
      <c r="W100" s="285">
        <f>-45-52</f>
        <v>-97</v>
      </c>
      <c r="X100" s="285">
        <f>-40-47</f>
        <v>-87</v>
      </c>
      <c r="Y100" s="285">
        <f>-16.7-20</f>
        <v>-36.700000000000003</v>
      </c>
      <c r="Z100" s="285">
        <f>-10-17</f>
        <v>-27</v>
      </c>
      <c r="AA100" s="285">
        <v>-26.5</v>
      </c>
      <c r="AB100" s="285">
        <v>-46</v>
      </c>
      <c r="AC100" s="285">
        <v>-80</v>
      </c>
      <c r="AD100" s="285">
        <v>-118</v>
      </c>
      <c r="AE100" s="285">
        <v>-126</v>
      </c>
      <c r="AF100" s="285">
        <v>-145</v>
      </c>
      <c r="AG100" s="283">
        <v>240</v>
      </c>
      <c r="AH100" s="226">
        <f t="shared" si="23"/>
        <v>-155.9</v>
      </c>
      <c r="AI100" s="284">
        <f t="shared" si="24"/>
        <v>0.125</v>
      </c>
    </row>
    <row r="101" spans="1:37" x14ac:dyDescent="0.25">
      <c r="A101" s="271" t="s">
        <v>105</v>
      </c>
      <c r="B101" s="285">
        <v>-2.2999999999999998</v>
      </c>
      <c r="C101" s="285">
        <v>3.2</v>
      </c>
      <c r="D101" s="285">
        <v>-3.5</v>
      </c>
      <c r="E101" s="285">
        <v>-3.8</v>
      </c>
      <c r="F101" s="285">
        <v>-7.2</v>
      </c>
      <c r="G101" s="285">
        <v>-2.4</v>
      </c>
      <c r="H101" s="285">
        <v>0</v>
      </c>
      <c r="I101" s="285">
        <v>5.3</v>
      </c>
      <c r="J101" s="285">
        <v>8.3000000000000007</v>
      </c>
      <c r="K101" s="285">
        <v>10.9</v>
      </c>
      <c r="L101" s="285">
        <v>27.4</v>
      </c>
      <c r="M101" s="285">
        <v>19.8</v>
      </c>
      <c r="N101" s="285">
        <v>19.8</v>
      </c>
      <c r="O101" s="285">
        <v>18</v>
      </c>
      <c r="P101" s="285">
        <v>18.2</v>
      </c>
      <c r="Q101" s="285">
        <v>24.6</v>
      </c>
      <c r="R101" s="285"/>
      <c r="S101" s="285">
        <v>28</v>
      </c>
      <c r="T101" s="285">
        <v>30.2</v>
      </c>
      <c r="U101" s="285">
        <v>24.7</v>
      </c>
      <c r="V101" s="285">
        <v>14</v>
      </c>
      <c r="W101" s="285">
        <v>21</v>
      </c>
      <c r="X101" s="285">
        <v>24</v>
      </c>
      <c r="Y101" s="285">
        <v>23.6</v>
      </c>
      <c r="Z101" s="285">
        <v>44</v>
      </c>
      <c r="AA101" s="285">
        <v>53</v>
      </c>
      <c r="AB101" s="285">
        <v>30</v>
      </c>
      <c r="AC101" s="285">
        <v>25</v>
      </c>
      <c r="AD101" s="285">
        <v>23</v>
      </c>
      <c r="AE101" s="285">
        <v>15</v>
      </c>
      <c r="AF101" s="285">
        <v>-2</v>
      </c>
      <c r="AG101" s="283">
        <v>60</v>
      </c>
      <c r="AH101" s="226">
        <f t="shared" si="23"/>
        <v>53</v>
      </c>
      <c r="AI101" s="284">
        <f t="shared" si="24"/>
        <v>0.8125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48.6</v>
      </c>
      <c r="N102" s="287">
        <v>48.6</v>
      </c>
      <c r="O102" s="287">
        <v>47.8</v>
      </c>
      <c r="P102" s="287">
        <v>44.9</v>
      </c>
      <c r="Q102" s="287">
        <v>43.9</v>
      </c>
      <c r="R102" s="287"/>
      <c r="S102" s="287">
        <v>61.5</v>
      </c>
      <c r="T102" s="287">
        <v>48.2</v>
      </c>
      <c r="U102" s="287">
        <v>67</v>
      </c>
      <c r="V102" s="287">
        <v>60.9</v>
      </c>
      <c r="W102" s="287">
        <v>47</v>
      </c>
      <c r="X102" s="287">
        <v>45</v>
      </c>
      <c r="Y102" s="287">
        <v>23.6</v>
      </c>
      <c r="Z102" s="287">
        <v>38</v>
      </c>
      <c r="AA102" s="287">
        <v>41</v>
      </c>
      <c r="AB102" s="287">
        <v>11</v>
      </c>
      <c r="AC102" s="287">
        <v>0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67</v>
      </c>
      <c r="AI102" s="284">
        <f t="shared" si="24"/>
        <v>0.66666666666666696</v>
      </c>
    </row>
    <row r="103" spans="1:37" x14ac:dyDescent="0.25">
      <c r="A103" s="286" t="s">
        <v>107</v>
      </c>
      <c r="B103" s="287">
        <v>39.4</v>
      </c>
      <c r="C103" s="287">
        <v>24.9</v>
      </c>
      <c r="D103" s="287">
        <v>36.5</v>
      </c>
      <c r="E103" s="287">
        <v>21.5</v>
      </c>
      <c r="F103" s="287">
        <v>28.7</v>
      </c>
      <c r="G103" s="287">
        <v>47.5</v>
      </c>
      <c r="H103" s="287">
        <v>35</v>
      </c>
      <c r="I103" s="287">
        <v>36</v>
      </c>
      <c r="J103" s="287">
        <v>50</v>
      </c>
      <c r="K103" s="287">
        <v>65</v>
      </c>
      <c r="L103" s="287">
        <v>80</v>
      </c>
      <c r="M103" s="287">
        <v>42.9</v>
      </c>
      <c r="N103" s="287">
        <v>42.9</v>
      </c>
      <c r="O103" s="287">
        <v>45.3</v>
      </c>
      <c r="P103" s="287">
        <v>45.7</v>
      </c>
      <c r="Q103" s="287">
        <v>43.5</v>
      </c>
      <c r="R103" s="287"/>
      <c r="S103" s="287">
        <v>56.7</v>
      </c>
      <c r="T103" s="287">
        <v>50</v>
      </c>
      <c r="U103" s="287">
        <v>64</v>
      </c>
      <c r="V103" s="287">
        <v>58</v>
      </c>
      <c r="W103" s="287">
        <v>47</v>
      </c>
      <c r="X103" s="287">
        <v>40</v>
      </c>
      <c r="Y103" s="287">
        <v>82.4</v>
      </c>
      <c r="Z103" s="287">
        <v>93</v>
      </c>
      <c r="AA103" s="287">
        <v>83</v>
      </c>
      <c r="AB103" s="287">
        <v>78</v>
      </c>
      <c r="AC103" s="287">
        <v>50</v>
      </c>
      <c r="AD103" s="287">
        <v>47</v>
      </c>
      <c r="AE103" s="287">
        <v>44</v>
      </c>
      <c r="AF103" s="287">
        <v>35</v>
      </c>
      <c r="AG103" s="288"/>
      <c r="AH103" s="226">
        <f t="shared" si="23"/>
        <v>93</v>
      </c>
      <c r="AI103" s="284">
        <f t="shared" si="24"/>
        <v>0.79166666666666663</v>
      </c>
    </row>
    <row r="104" spans="1:37" x14ac:dyDescent="0.25">
      <c r="A104" s="286" t="s">
        <v>108</v>
      </c>
      <c r="B104" s="287">
        <v>24.5</v>
      </c>
      <c r="C104" s="287">
        <v>15.3</v>
      </c>
      <c r="D104" s="287">
        <v>29.5</v>
      </c>
      <c r="E104" s="287">
        <v>13.6</v>
      </c>
      <c r="F104" s="287">
        <v>38</v>
      </c>
      <c r="G104" s="287">
        <v>48</v>
      </c>
      <c r="H104" s="287">
        <v>31</v>
      </c>
      <c r="I104" s="287">
        <v>19</v>
      </c>
      <c r="J104" s="287">
        <v>6</v>
      </c>
      <c r="K104" s="287">
        <v>2.6</v>
      </c>
      <c r="L104" s="287">
        <v>6.1</v>
      </c>
      <c r="M104" s="287">
        <v>-15.4</v>
      </c>
      <c r="N104" s="287">
        <v>-15.4</v>
      </c>
      <c r="O104" s="287">
        <v>3.6</v>
      </c>
      <c r="P104" s="287">
        <v>-1.7</v>
      </c>
      <c r="Q104" s="287">
        <v>5.7</v>
      </c>
      <c r="R104" s="287"/>
      <c r="S104" s="287">
        <v>38.200000000000003</v>
      </c>
      <c r="T104" s="287">
        <v>31.5</v>
      </c>
      <c r="U104" s="287">
        <v>27.3</v>
      </c>
      <c r="V104" s="287">
        <v>20</v>
      </c>
      <c r="W104" s="287">
        <v>18</v>
      </c>
      <c r="X104" s="287">
        <v>22.6</v>
      </c>
      <c r="Y104" s="287">
        <v>28.2</v>
      </c>
      <c r="Z104" s="287">
        <v>51</v>
      </c>
      <c r="AA104" s="287">
        <v>50</v>
      </c>
      <c r="AB104" s="287">
        <v>28</v>
      </c>
      <c r="AC104" s="287">
        <v>25</v>
      </c>
      <c r="AD104" s="287">
        <v>23</v>
      </c>
      <c r="AE104" s="287">
        <v>38</v>
      </c>
      <c r="AF104" s="287">
        <v>17</v>
      </c>
      <c r="AG104" s="289"/>
      <c r="AH104" s="226">
        <f t="shared" si="23"/>
        <v>51</v>
      </c>
      <c r="AI104" s="284">
        <f t="shared" si="24"/>
        <v>0.79166666666666663</v>
      </c>
    </row>
    <row r="105" spans="1:37" x14ac:dyDescent="0.25">
      <c r="A105" s="290" t="s">
        <v>109</v>
      </c>
      <c r="B105" s="274">
        <v>80.8</v>
      </c>
      <c r="C105" s="274">
        <v>83.7</v>
      </c>
      <c r="D105" s="274">
        <v>84.6</v>
      </c>
      <c r="E105" s="274">
        <v>86.9</v>
      </c>
      <c r="F105" s="274">
        <v>90.2</v>
      </c>
      <c r="G105" s="274">
        <v>91</v>
      </c>
      <c r="H105" s="274">
        <v>90</v>
      </c>
      <c r="I105" s="274">
        <v>90.9</v>
      </c>
      <c r="J105" s="274">
        <v>88</v>
      </c>
      <c r="K105" s="274">
        <v>80</v>
      </c>
      <c r="L105" s="274">
        <v>74</v>
      </c>
      <c r="M105" s="274">
        <v>73.5</v>
      </c>
      <c r="N105" s="274">
        <v>73.5</v>
      </c>
      <c r="O105" s="274">
        <v>62.6</v>
      </c>
      <c r="P105" s="274">
        <v>63.4</v>
      </c>
      <c r="Q105" s="274">
        <v>45.8</v>
      </c>
      <c r="R105" s="274"/>
      <c r="S105" s="274">
        <v>64.7</v>
      </c>
      <c r="T105" s="274">
        <v>65.3</v>
      </c>
      <c r="U105" s="274">
        <v>70</v>
      </c>
      <c r="V105" s="274">
        <v>68</v>
      </c>
      <c r="W105" s="274">
        <v>72</v>
      </c>
      <c r="X105" s="274">
        <v>66.2</v>
      </c>
      <c r="Y105" s="274">
        <v>64.7</v>
      </c>
      <c r="Z105" s="274">
        <v>55</v>
      </c>
      <c r="AA105" s="274">
        <v>50</v>
      </c>
      <c r="AB105" s="274">
        <v>64</v>
      </c>
      <c r="AC105" s="274">
        <v>65</v>
      </c>
      <c r="AD105" s="274">
        <v>69</v>
      </c>
      <c r="AE105" s="274">
        <v>72</v>
      </c>
      <c r="AF105" s="274">
        <v>80</v>
      </c>
      <c r="AG105" s="289"/>
      <c r="AH105" s="226">
        <f t="shared" si="23"/>
        <v>91</v>
      </c>
      <c r="AI105" s="284">
        <f t="shared" si="24"/>
        <v>0.20833333333333301</v>
      </c>
    </row>
    <row r="106" spans="1:37" ht="15.75" thickBot="1" x14ac:dyDescent="0.3">
      <c r="A106" s="290" t="s">
        <v>110</v>
      </c>
      <c r="B106" s="274">
        <v>91</v>
      </c>
      <c r="C106" s="274">
        <v>99.4</v>
      </c>
      <c r="D106" s="274">
        <v>90.5</v>
      </c>
      <c r="E106" s="274">
        <v>94.2</v>
      </c>
      <c r="F106" s="274">
        <v>91</v>
      </c>
      <c r="G106" s="274">
        <v>79</v>
      </c>
      <c r="H106" s="274">
        <v>81</v>
      </c>
      <c r="I106" s="274">
        <v>70</v>
      </c>
      <c r="J106" s="274">
        <v>57</v>
      </c>
      <c r="K106" s="274">
        <v>45</v>
      </c>
      <c r="L106" s="274">
        <v>42</v>
      </c>
      <c r="M106" s="274">
        <v>72.7</v>
      </c>
      <c r="N106" s="274">
        <v>72.7</v>
      </c>
      <c r="O106" s="274">
        <v>73.900000000000006</v>
      </c>
      <c r="P106" s="274">
        <v>78.2</v>
      </c>
      <c r="Q106" s="274">
        <v>72.900000000000006</v>
      </c>
      <c r="R106" s="274"/>
      <c r="S106" s="274">
        <v>55.9</v>
      </c>
      <c r="T106" s="274">
        <v>76.400000000000006</v>
      </c>
      <c r="U106" s="274">
        <v>52</v>
      </c>
      <c r="V106" s="274">
        <v>56</v>
      </c>
      <c r="W106" s="274">
        <v>72</v>
      </c>
      <c r="X106" s="274">
        <v>67.5</v>
      </c>
      <c r="Y106" s="274">
        <v>27.4</v>
      </c>
      <c r="Z106" s="274">
        <v>28</v>
      </c>
      <c r="AA106" s="274"/>
      <c r="AB106" s="274">
        <v>42</v>
      </c>
      <c r="AC106" s="274"/>
      <c r="AD106" s="274">
        <v>21</v>
      </c>
      <c r="AE106" s="274">
        <v>37</v>
      </c>
      <c r="AF106" s="274">
        <v>17</v>
      </c>
      <c r="AG106" s="289"/>
      <c r="AH106" s="226">
        <f t="shared" si="23"/>
        <v>99.4</v>
      </c>
      <c r="AI106" s="284">
        <f t="shared" si="24"/>
        <v>4.1666666666666664E-2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1871.7399999999998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6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2079/02/6)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2079/02/6)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1820.4399999999998</v>
      </c>
      <c r="U235" s="343">
        <f t="shared" si="31"/>
        <v>1841.7399999999998</v>
      </c>
      <c r="V235" s="343">
        <f t="shared" si="31"/>
        <v>1809.34</v>
      </c>
      <c r="W235" s="343">
        <f t="shared" si="31"/>
        <v>1797.8400000000001</v>
      </c>
      <c r="X235" s="343">
        <f t="shared" si="31"/>
        <v>1780.24</v>
      </c>
      <c r="Y235" s="343">
        <f t="shared" si="31"/>
        <v>1779.6399999999999</v>
      </c>
      <c r="Z235" s="343">
        <f t="shared" si="31"/>
        <v>1775.6399999999999</v>
      </c>
      <c r="AA235" s="343">
        <f t="shared" si="31"/>
        <v>1760.9399999999998</v>
      </c>
      <c r="AB235" s="343">
        <f t="shared" si="31"/>
        <v>1787.54</v>
      </c>
      <c r="AC235" s="343">
        <f t="shared" si="31"/>
        <v>1797.6399999999999</v>
      </c>
      <c r="AD235" s="343">
        <f t="shared" si="31"/>
        <v>1801.34</v>
      </c>
      <c r="AE235" s="343">
        <f t="shared" si="31"/>
        <v>1871.7399999999998</v>
      </c>
      <c r="AF235" s="343">
        <f t="shared" si="31"/>
        <v>1854.74</v>
      </c>
      <c r="AG235" s="343">
        <f t="shared" si="31"/>
        <v>1910.94</v>
      </c>
      <c r="AH235" s="343">
        <f t="shared" si="31"/>
        <v>1898.7400000000002</v>
      </c>
      <c r="AI235" s="343">
        <f t="shared" si="31"/>
        <v>1918.3400000000001</v>
      </c>
      <c r="AJ235" s="343">
        <f t="shared" si="31"/>
        <v>1964.84</v>
      </c>
      <c r="AK235" s="343">
        <f t="shared" si="31"/>
        <v>1896.84</v>
      </c>
      <c r="AL235" s="343">
        <f t="shared" si="31"/>
        <v>1908.54</v>
      </c>
      <c r="AM235" s="343">
        <f t="shared" si="31"/>
        <v>1889.7399999999998</v>
      </c>
      <c r="AN235" s="343">
        <f t="shared" si="31"/>
        <v>1865.8399999999997</v>
      </c>
      <c r="AO235" s="343">
        <f t="shared" si="31"/>
        <v>1895.2399999999998</v>
      </c>
      <c r="AP235" s="343">
        <f t="shared" si="31"/>
        <v>1875.6399999999999</v>
      </c>
      <c r="AQ235" s="343">
        <f t="shared" si="31"/>
        <v>1829.54</v>
      </c>
      <c r="AR235" s="343">
        <f t="shared" si="31"/>
        <v>1882.54</v>
      </c>
      <c r="AS235" s="343">
        <f t="shared" si="31"/>
        <v>1933.6399999999999</v>
      </c>
      <c r="AT235" s="343">
        <f t="shared" si="31"/>
        <v>1922.1399999999999</v>
      </c>
      <c r="AU235" s="343">
        <f t="shared" si="31"/>
        <v>1922.1399999999999</v>
      </c>
      <c r="AV235" s="343">
        <f t="shared" si="31"/>
        <v>1923.1399999999999</v>
      </c>
      <c r="AW235" s="343">
        <f t="shared" si="31"/>
        <v>1893.1399999999999</v>
      </c>
      <c r="AX235" s="343">
        <f t="shared" si="31"/>
        <v>1837.6399999999999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U11:AF11">
    <cfRule type="expression" dxfId="7252" priority="233">
      <formula>B$9&gt;=20/24</formula>
    </cfRule>
    <cfRule type="expression" dxfId="7251" priority="234">
      <formula>AND(B$9&gt;=14/24,B$9&lt;20/24)</formula>
    </cfRule>
    <cfRule type="expression" dxfId="7250" priority="235">
      <formula>AND(B$9&gt;=8/24,B$9&lt;14/24)</formula>
    </cfRule>
    <cfRule type="expression" dxfId="7249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7248" priority="228">
      <formula>S$9&gt;=20/24</formula>
    </cfRule>
    <cfRule type="expression" dxfId="7247" priority="229">
      <formula>AND(S$9&gt;=14/24,S$9&lt;20/24)</formula>
    </cfRule>
    <cfRule type="expression" dxfId="7246" priority="230">
      <formula>AND(S$9&gt;=8/24,S$9&lt;14/24)</formula>
    </cfRule>
    <cfRule type="expression" dxfId="7245" priority="231">
      <formula>S$9&lt;8/24</formula>
    </cfRule>
  </conditionalFormatting>
  <conditionalFormatting sqref="AG55 S37:AF37 B12:B16 C11:E16 S11:U15 F16:U16 V11:AF16 B35:AF35">
    <cfRule type="expression" dxfId="7244" priority="227">
      <formula>B11&gt;$AG11</formula>
    </cfRule>
  </conditionalFormatting>
  <conditionalFormatting sqref="A89:A102 A11:A14 A49:A76 A85:A87 A191:A221 A16:A30 A36:A47 A107:A178 A32:A33 A81:A83 A78:A79">
    <cfRule type="expression" dxfId="7243" priority="226">
      <formula>$AH11=0</formula>
    </cfRule>
  </conditionalFormatting>
  <conditionalFormatting sqref="A103">
    <cfRule type="expression" dxfId="7242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241" priority="223">
      <formula>$AH35=0</formula>
    </cfRule>
  </conditionalFormatting>
  <conditionalFormatting sqref="A88">
    <cfRule type="expression" dxfId="7240" priority="222">
      <formula>$AH88=0</formula>
    </cfRule>
  </conditionalFormatting>
  <conditionalFormatting sqref="A15">
    <cfRule type="expression" dxfId="7239" priority="221">
      <formula>$AH15=0</formula>
    </cfRule>
  </conditionalFormatting>
  <conditionalFormatting sqref="A185:A190">
    <cfRule type="expression" dxfId="7238" priority="220">
      <formula>$AH185=0</formula>
    </cfRule>
  </conditionalFormatting>
  <conditionalFormatting sqref="A179:A184">
    <cfRule type="expression" dxfId="7237" priority="219">
      <formula>$AH179=0</formula>
    </cfRule>
  </conditionalFormatting>
  <conditionalFormatting sqref="A48">
    <cfRule type="expression" dxfId="7236" priority="218">
      <formula>$AH48=0</formula>
    </cfRule>
  </conditionalFormatting>
  <conditionalFormatting sqref="A84">
    <cfRule type="expression" dxfId="7235" priority="217">
      <formula>$AH84=0</formula>
    </cfRule>
  </conditionalFormatting>
  <conditionalFormatting sqref="C89:AF89">
    <cfRule type="expression" dxfId="7234" priority="213">
      <formula>C$9&gt;=20/24</formula>
    </cfRule>
    <cfRule type="expression" dxfId="7233" priority="214">
      <formula>AND(C$9&gt;=14/24,C$9&lt;20/24)</formula>
    </cfRule>
    <cfRule type="expression" dxfId="7232" priority="215">
      <formula>AND(C$9&gt;=8/24,C$9&lt;14/24)</formula>
    </cfRule>
    <cfRule type="expression" dxfId="7231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30" priority="239">
      <formula>C$9&gt;=20/24</formula>
    </cfRule>
    <cfRule type="expression" dxfId="7229" priority="240">
      <formula>AND(C$9&gt;=14/24,C$9&lt;20/24)</formula>
    </cfRule>
    <cfRule type="expression" dxfId="7228" priority="241">
      <formula>AND(C$9&gt;=8/24,C$9&lt;14/24)</formula>
    </cfRule>
    <cfRule type="expression" dxfId="7227" priority="242">
      <formula>C$9&lt;8/24</formula>
    </cfRule>
  </conditionalFormatting>
  <conditionalFormatting sqref="A222">
    <cfRule type="expression" dxfId="7226" priority="243">
      <formula>$AH222=0</formula>
    </cfRule>
  </conditionalFormatting>
  <conditionalFormatting sqref="AG234">
    <cfRule type="expression" dxfId="7225" priority="244">
      <formula>B$9&gt;=20/24</formula>
    </cfRule>
    <cfRule type="expression" dxfId="7224" priority="245">
      <formula>AND(B$9&gt;=14/24,B$9&lt;20/24)</formula>
    </cfRule>
    <cfRule type="expression" dxfId="7223" priority="246">
      <formula>AND(B$9&gt;=8/24,B$9&lt;14/24)</formula>
    </cfRule>
    <cfRule type="expression" dxfId="7222" priority="247">
      <formula>B$9&lt;8/24</formula>
    </cfRule>
  </conditionalFormatting>
  <conditionalFormatting sqref="S8">
    <cfRule type="expression" dxfId="7221" priority="208">
      <formula>U$9&gt;=20/24</formula>
    </cfRule>
    <cfRule type="expression" dxfId="7220" priority="209">
      <formula>AND(U$9&gt;=14/24,U$9&lt;20/24)</formula>
    </cfRule>
    <cfRule type="expression" dxfId="7219" priority="210">
      <formula>AND(U$9&gt;=8/24,U$9&lt;14/24)</formula>
    </cfRule>
    <cfRule type="expression" dxfId="7218" priority="211">
      <formula>U$9&lt;8/24</formula>
    </cfRule>
  </conditionalFormatting>
  <conditionalFormatting sqref="AB8">
    <cfRule type="expression" dxfId="7217" priority="204">
      <formula>AD$9&gt;=20/24</formula>
    </cfRule>
    <cfRule type="expression" dxfId="7216" priority="205">
      <formula>AND(AD$9&gt;=14/24,AD$9&lt;20/24)</formula>
    </cfRule>
    <cfRule type="expression" dxfId="7215" priority="206">
      <formula>AND(AD$9&gt;=8/24,AD$9&lt;14/24)</formula>
    </cfRule>
    <cfRule type="expression" dxfId="7214" priority="207">
      <formula>AD$9&lt;8/24</formula>
    </cfRule>
  </conditionalFormatting>
  <conditionalFormatting sqref="AH234:AX234">
    <cfRule type="expression" dxfId="7213" priority="248">
      <formula>AG$9&gt;=20/24</formula>
    </cfRule>
    <cfRule type="expression" dxfId="7212" priority="249">
      <formula>AND(AG$9&gt;=14/24,AG$9&lt;20/24)</formula>
    </cfRule>
    <cfRule type="expression" dxfId="7211" priority="250">
      <formula>AND(AG$9&gt;=8/24,AG$9&lt;14/24)</formula>
    </cfRule>
    <cfRule type="expression" dxfId="7210" priority="251">
      <formula>AG$9&lt;8/24</formula>
    </cfRule>
  </conditionalFormatting>
  <conditionalFormatting sqref="T234">
    <cfRule type="expression" dxfId="7209" priority="252">
      <formula>AX$9&gt;=20/24</formula>
    </cfRule>
    <cfRule type="expression" dxfId="7208" priority="253">
      <formula>AND(AX$9&gt;=14/24,AX$9&lt;20/24)</formula>
    </cfRule>
    <cfRule type="expression" dxfId="7207" priority="254">
      <formula>AND(AX$9&gt;=8/24,AX$9&lt;14/24)</formula>
    </cfRule>
    <cfRule type="expression" dxfId="7206" priority="255">
      <formula>AX$9&lt;8/24</formula>
    </cfRule>
  </conditionalFormatting>
  <conditionalFormatting sqref="A104:A105">
    <cfRule type="expression" dxfId="7205" priority="203">
      <formula>$AH104=0</formula>
    </cfRule>
  </conditionalFormatting>
  <conditionalFormatting sqref="F44:P45 F11:R11 C61:AF61 AA36:AF36 AA44:AF45">
    <cfRule type="expression" dxfId="7204" priority="199">
      <formula>C$9&gt;=20/24</formula>
    </cfRule>
    <cfRule type="expression" dxfId="7203" priority="200">
      <formula>AND(C$9&gt;=14/24,C$9&lt;20/24)</formula>
    </cfRule>
    <cfRule type="expression" dxfId="7202" priority="201">
      <formula>AND(C$9&gt;=8/24,C$9&lt;14/24)</formula>
    </cfRule>
    <cfRule type="expression" dxfId="7201" priority="202">
      <formula>C$9&lt;8/24</formula>
    </cfRule>
  </conditionalFormatting>
  <conditionalFormatting sqref="E43:P43 AA43:AF43">
    <cfRule type="expression" dxfId="7200" priority="195">
      <formula>E$9&gt;=20/24</formula>
    </cfRule>
    <cfRule type="expression" dxfId="7199" priority="196">
      <formula>AND(E$9&gt;=14/24,E$9&lt;20/24)</formula>
    </cfRule>
    <cfRule type="expression" dxfId="7198" priority="197">
      <formula>AND(E$9&gt;=8/24,E$9&lt;14/24)</formula>
    </cfRule>
    <cfRule type="expression" dxfId="7197" priority="198">
      <formula>E$9&lt;8/24</formula>
    </cfRule>
  </conditionalFormatting>
  <conditionalFormatting sqref="E43:G43 F44:G45 H43:P45 F11:R11 AA36:AF36 AA43:AF45">
    <cfRule type="expression" dxfId="7196" priority="194">
      <formula>E11&gt;$AG11</formula>
    </cfRule>
  </conditionalFormatting>
  <conditionalFormatting sqref="C86:AF86 C62:R63 C76:AF76 M68:M70 F71:M71 F66:M67 N66:N71 F65:N65 F64:R64 M37:P37 F73:AF75 O65:R71 F36:P36 Q36:R37 S36:Z36 C90:AF96 F57:AF59 S16:AF16 S18:AF22 S28:AF30 S24:AF26 F12:AF14 S32:AF32 S62:AF71">
    <cfRule type="expression" dxfId="7195" priority="190">
      <formula>C$9&gt;=20/24</formula>
    </cfRule>
    <cfRule type="expression" dxfId="7194" priority="191">
      <formula>AND(C$9&gt;=14/24,C$9&lt;20/24)</formula>
    </cfRule>
    <cfRule type="expression" dxfId="7193" priority="192">
      <formula>AND(C$9&gt;=8/24,C$9&lt;14/24)</formula>
    </cfRule>
    <cfRule type="expression" dxfId="7192" priority="193">
      <formula>C$9&lt;8/24</formula>
    </cfRule>
  </conditionalFormatting>
  <conditionalFormatting sqref="S33:AF33">
    <cfRule type="expression" dxfId="7191" priority="186">
      <formula>S$9&gt;=20/24</formula>
    </cfRule>
    <cfRule type="expression" dxfId="7190" priority="187">
      <formula>AND(S$9&gt;=14/24,S$9&lt;20/24)</formula>
    </cfRule>
    <cfRule type="expression" dxfId="7189" priority="188">
      <formula>AND(S$9&gt;=8/24,S$9&lt;14/24)</formula>
    </cfRule>
    <cfRule type="expression" dxfId="7188" priority="189">
      <formula>S$9&lt;8/24</formula>
    </cfRule>
  </conditionalFormatting>
  <conditionalFormatting sqref="C55:AF55 C37:P37 F36:P36 F46:P48 F12:R15 Q36:R37 S36:Z36 F57:AF59 S18:AF22 S24:AF30 S32:AF33">
    <cfRule type="expression" dxfId="7187" priority="185">
      <formula>C12&gt;$AG12</formula>
    </cfRule>
  </conditionalFormatting>
  <conditionalFormatting sqref="S35:AF35">
    <cfRule type="expression" dxfId="7186" priority="181">
      <formula>S$9&gt;=20/24</formula>
    </cfRule>
    <cfRule type="expression" dxfId="7185" priority="182">
      <formula>AND(S$9&gt;=14/24,S$9&lt;20/24)</formula>
    </cfRule>
    <cfRule type="expression" dxfId="7184" priority="183">
      <formula>AND(S$9&gt;=8/24,S$9&lt;14/24)</formula>
    </cfRule>
    <cfRule type="expression" dxfId="7183" priority="184">
      <formula>S$9&lt;8/24</formula>
    </cfRule>
  </conditionalFormatting>
  <conditionalFormatting sqref="F15:AF15">
    <cfRule type="expression" dxfId="7182" priority="177">
      <formula>F$9&gt;=20/24</formula>
    </cfRule>
    <cfRule type="expression" dxfId="7181" priority="178">
      <formula>AND(F$9&gt;=14/24,F$9&lt;20/24)</formula>
    </cfRule>
    <cfRule type="expression" dxfId="7180" priority="179">
      <formula>AND(F$9&gt;=8/24,F$9&lt;14/24)</formula>
    </cfRule>
    <cfRule type="expression" dxfId="7179" priority="180">
      <formula>F$9&lt;8/24</formula>
    </cfRule>
  </conditionalFormatting>
  <conditionalFormatting sqref="S34:AF34">
    <cfRule type="expression" dxfId="7178" priority="173">
      <formula>S$9&gt;=20/24</formula>
    </cfRule>
    <cfRule type="expression" dxfId="7177" priority="174">
      <formula>AND(S$9&gt;=14/24,S$9&lt;20/24)</formula>
    </cfRule>
    <cfRule type="expression" dxfId="7176" priority="175">
      <formula>AND(S$9&gt;=8/24,S$9&lt;14/24)</formula>
    </cfRule>
    <cfRule type="expression" dxfId="7175" priority="176">
      <formula>S$9&lt;8/24</formula>
    </cfRule>
  </conditionalFormatting>
  <conditionalFormatting sqref="S34:AF34">
    <cfRule type="expression" dxfId="7174" priority="172">
      <formula>S34&gt;$AG34</formula>
    </cfRule>
  </conditionalFormatting>
  <conditionalFormatting sqref="S11:Z11">
    <cfRule type="expression" dxfId="7173" priority="168">
      <formula>S$9&gt;=20/24</formula>
    </cfRule>
    <cfRule type="expression" dxfId="7172" priority="169">
      <formula>AND(S$9&gt;=14/24,S$9&lt;20/24)</formula>
    </cfRule>
    <cfRule type="expression" dxfId="7171" priority="170">
      <formula>AND(S$9&gt;=8/24,S$9&lt;14/24)</formula>
    </cfRule>
    <cfRule type="expression" dxfId="7170" priority="171">
      <formula>S$9&lt;8/24</formula>
    </cfRule>
  </conditionalFormatting>
  <conditionalFormatting sqref="AA46:AF47">
    <cfRule type="expression" dxfId="7169" priority="164">
      <formula>AA$9&gt;=20/24</formula>
    </cfRule>
    <cfRule type="expression" dxfId="7168" priority="165">
      <formula>AND(AA$9&gt;=14/24,AA$9&lt;20/24)</formula>
    </cfRule>
    <cfRule type="expression" dxfId="7167" priority="166">
      <formula>AND(AA$9&gt;=8/24,AA$9&lt;14/24)</formula>
    </cfRule>
    <cfRule type="expression" dxfId="7166" priority="167">
      <formula>AA$9&lt;8/24</formula>
    </cfRule>
  </conditionalFormatting>
  <conditionalFormatting sqref="AA46:AF47">
    <cfRule type="expression" dxfId="7165" priority="163">
      <formula>AA46&gt;$AG46</formula>
    </cfRule>
  </conditionalFormatting>
  <conditionalFormatting sqref="Q43:Z54 AA48:AF54">
    <cfRule type="expression" dxfId="7164" priority="159">
      <formula>Q$9&gt;=20/24</formula>
    </cfRule>
    <cfRule type="expression" dxfId="7163" priority="160">
      <formula>AND(Q$9&gt;=14/24,Q$9&lt;20/24)</formula>
    </cfRule>
    <cfRule type="expression" dxfId="7162" priority="161">
      <formula>AND(Q$9&gt;=8/24,Q$9&lt;14/24)</formula>
    </cfRule>
    <cfRule type="expression" dxfId="7161" priority="162">
      <formula>Q$9&lt;8/24</formula>
    </cfRule>
  </conditionalFormatting>
  <conditionalFormatting sqref="Q43:Z54 AA48:AF54">
    <cfRule type="expression" dxfId="7160" priority="158">
      <formula>Q43&gt;$AG43</formula>
    </cfRule>
  </conditionalFormatting>
  <conditionalFormatting sqref="S27:AF27">
    <cfRule type="expression" dxfId="7159" priority="154">
      <formula>S$9&gt;=20/24</formula>
    </cfRule>
    <cfRule type="expression" dxfId="7158" priority="155">
      <formula>AND(S$9&gt;=14/24,S$9&lt;20/24)</formula>
    </cfRule>
    <cfRule type="expression" dxfId="7157" priority="156">
      <formula>AND(S$9&gt;=8/24,S$9&lt;14/24)</formula>
    </cfRule>
    <cfRule type="expression" dxfId="7156" priority="157">
      <formula>S$9&lt;8/24</formula>
    </cfRule>
  </conditionalFormatting>
  <conditionalFormatting sqref="F17:F30 C11:E14 C16:F16 B28:E28 F32:R32 G16:R30 S23:AF23 S17:AF17">
    <cfRule type="expression" dxfId="7155" priority="150">
      <formula>B$9&gt;=20/24</formula>
    </cfRule>
    <cfRule type="expression" dxfId="7154" priority="151">
      <formula>AND(B$9&gt;=14/24,B$9&lt;20/24)</formula>
    </cfRule>
    <cfRule type="expression" dxfId="7153" priority="152">
      <formula>AND(B$9&gt;=8/24,B$9&lt;14/24)</formula>
    </cfRule>
    <cfRule type="expression" dxfId="7152" priority="153">
      <formula>B$9&lt;8/24</formula>
    </cfRule>
  </conditionalFormatting>
  <conditionalFormatting sqref="F33:R33">
    <cfRule type="expression" dxfId="7151" priority="146">
      <formula>F$9&gt;=20/24</formula>
    </cfRule>
    <cfRule type="expression" dxfId="7150" priority="147">
      <formula>AND(F$9&gt;=14/24,F$9&lt;20/24)</formula>
    </cfRule>
    <cfRule type="expression" dxfId="7149" priority="148">
      <formula>AND(F$9&gt;=8/24,F$9&lt;14/24)</formula>
    </cfRule>
    <cfRule type="expression" dxfId="7148" priority="149">
      <formula>F$9&lt;8/24</formula>
    </cfRule>
  </conditionalFormatting>
  <conditionalFormatting sqref="B28:E28 F32:R33 F17:R30 S23:AF23 S17:AF17">
    <cfRule type="expression" dxfId="7147" priority="145">
      <formula>B17&gt;$AG17</formula>
    </cfRule>
  </conditionalFormatting>
  <conditionalFormatting sqref="F35:R35">
    <cfRule type="expression" dxfId="7146" priority="141">
      <formula>F$9&gt;=20/24</formula>
    </cfRule>
    <cfRule type="expression" dxfId="7145" priority="142">
      <formula>AND(F$9&gt;=14/24,F$9&lt;20/24)</formula>
    </cfRule>
    <cfRule type="expression" dxfId="7144" priority="143">
      <formula>AND(F$9&gt;=8/24,F$9&lt;14/24)</formula>
    </cfRule>
    <cfRule type="expression" dxfId="7143" priority="144">
      <formula>F$9&lt;8/24</formula>
    </cfRule>
  </conditionalFormatting>
  <conditionalFormatting sqref="C15:E15">
    <cfRule type="expression" dxfId="7142" priority="137">
      <formula>C$9&gt;=20/24</formula>
    </cfRule>
    <cfRule type="expression" dxfId="7141" priority="138">
      <formula>AND(C$9&gt;=14/24,C$9&lt;20/24)</formula>
    </cfRule>
    <cfRule type="expression" dxfId="7140" priority="139">
      <formula>AND(C$9&gt;=8/24,C$9&lt;14/24)</formula>
    </cfRule>
    <cfRule type="expression" dxfId="7139" priority="140">
      <formula>C$9&lt;8/24</formula>
    </cfRule>
  </conditionalFormatting>
  <conditionalFormatting sqref="F34:R34">
    <cfRule type="expression" dxfId="7138" priority="133">
      <formula>F$9&gt;=20/24</formula>
    </cfRule>
    <cfRule type="expression" dxfId="7137" priority="134">
      <formula>AND(F$9&gt;=14/24,F$9&lt;20/24)</formula>
    </cfRule>
    <cfRule type="expression" dxfId="7136" priority="135">
      <formula>AND(F$9&gt;=8/24,F$9&lt;14/24)</formula>
    </cfRule>
    <cfRule type="expression" dxfId="7135" priority="136">
      <formula>F$9&lt;8/24</formula>
    </cfRule>
  </conditionalFormatting>
  <conditionalFormatting sqref="F34:R34">
    <cfRule type="expression" dxfId="7134" priority="132">
      <formula>F34&gt;$AG34</formula>
    </cfRule>
  </conditionalFormatting>
  <conditionalFormatting sqref="C44:E45">
    <cfRule type="expression" dxfId="7133" priority="128">
      <formula>C$9&gt;=20/24</formula>
    </cfRule>
    <cfRule type="expression" dxfId="7132" priority="129">
      <formula>AND(C$9&gt;=14/24,C$9&lt;20/24)</formula>
    </cfRule>
    <cfRule type="expression" dxfId="7131" priority="130">
      <formula>AND(C$9&gt;=8/24,C$9&lt;14/24)</formula>
    </cfRule>
    <cfRule type="expression" dxfId="7130" priority="131">
      <formula>C$9&lt;8/24</formula>
    </cfRule>
  </conditionalFormatting>
  <conditionalFormatting sqref="C43:D43">
    <cfRule type="expression" dxfId="7129" priority="124">
      <formula>C$9&gt;=20/24</formula>
    </cfRule>
    <cfRule type="expression" dxfId="7128" priority="125">
      <formula>AND(C$9&gt;=14/24,C$9&lt;20/24)</formula>
    </cfRule>
    <cfRule type="expression" dxfId="7127" priority="126">
      <formula>AND(C$9&gt;=8/24,C$9&lt;14/24)</formula>
    </cfRule>
    <cfRule type="expression" dxfId="7126" priority="127">
      <formula>C$9&lt;8/24</formula>
    </cfRule>
  </conditionalFormatting>
  <conditionalFormatting sqref="C43:D45 E44:E45">
    <cfRule type="expression" dxfId="7125" priority="123">
      <formula>C43&gt;$AG43</formula>
    </cfRule>
  </conditionalFormatting>
  <conditionalFormatting sqref="F68:L70">
    <cfRule type="expression" dxfId="7124" priority="119">
      <formula>F$9&gt;=20/24</formula>
    </cfRule>
    <cfRule type="expression" dxfId="7123" priority="120">
      <formula>AND(F$9&gt;=14/24,F$9&lt;20/24)</formula>
    </cfRule>
    <cfRule type="expression" dxfId="7122" priority="121">
      <formula>AND(F$9&gt;=8/24,F$9&lt;14/24)</formula>
    </cfRule>
    <cfRule type="expression" dxfId="7121" priority="122">
      <formula>F$9&lt;8/24</formula>
    </cfRule>
  </conditionalFormatting>
  <conditionalFormatting sqref="C46:E47">
    <cfRule type="expression" dxfId="7120" priority="118">
      <formula>C46&gt;$AG46</formula>
    </cfRule>
  </conditionalFormatting>
  <conditionalFormatting sqref="C48:E50 F49:P50">
    <cfRule type="expression" dxfId="7119" priority="114">
      <formula>C$9&gt;=20/24</formula>
    </cfRule>
    <cfRule type="expression" dxfId="7118" priority="115">
      <formula>AND(C$9&gt;=14/24,C$9&lt;20/24)</formula>
    </cfRule>
    <cfRule type="expression" dxfId="7117" priority="116">
      <formula>AND(C$9&gt;=8/24,C$9&lt;14/24)</formula>
    </cfRule>
    <cfRule type="expression" dxfId="7116" priority="117">
      <formula>C$9&lt;8/24</formula>
    </cfRule>
  </conditionalFormatting>
  <conditionalFormatting sqref="C48:E50 F49:P50">
    <cfRule type="expression" dxfId="7115" priority="113">
      <formula>C48&gt;$AG48</formula>
    </cfRule>
  </conditionalFormatting>
  <conditionalFormatting sqref="B99:B105 B11 B78:AF78 B87:AF87">
    <cfRule type="expression" dxfId="7114" priority="100">
      <formula>B$9&gt;=20/24</formula>
    </cfRule>
    <cfRule type="expression" dxfId="7113" priority="101">
      <formula>AND(B$9&gt;=14/24,B$9&lt;20/24)</formula>
    </cfRule>
    <cfRule type="expression" dxfId="7112" priority="102">
      <formula>AND(B$9&gt;=8/24,B$9&lt;14/24)</formula>
    </cfRule>
    <cfRule type="expression" dxfId="7111" priority="103">
      <formula>B$9&lt;8/24</formula>
    </cfRule>
  </conditionalFormatting>
  <conditionalFormatting sqref="B37">
    <cfRule type="expression" dxfId="7110" priority="96">
      <formula>B$9&gt;=20/24</formula>
    </cfRule>
    <cfRule type="expression" dxfId="7109" priority="97">
      <formula>AND(B$9&gt;=14/24,B$9&lt;20/24)</formula>
    </cfRule>
    <cfRule type="expression" dxfId="7108" priority="98">
      <formula>AND(B$9&gt;=8/24,B$9&lt;14/24)</formula>
    </cfRule>
    <cfRule type="expression" dxfId="7107" priority="99">
      <formula>B$9&lt;8/24</formula>
    </cfRule>
  </conditionalFormatting>
  <conditionalFormatting sqref="B37 B11">
    <cfRule type="expression" dxfId="7106" priority="95">
      <formula>B11&gt;$AG11</formula>
    </cfRule>
  </conditionalFormatting>
  <conditionalFormatting sqref="B89">
    <cfRule type="expression" dxfId="7105" priority="91">
      <formula>B$9&gt;=20/24</formula>
    </cfRule>
    <cfRule type="expression" dxfId="7104" priority="92">
      <formula>AND(B$9&gt;=14/24,B$9&lt;20/24)</formula>
    </cfRule>
    <cfRule type="expression" dxfId="7103" priority="93">
      <formula>AND(B$9&gt;=8/24,B$9&lt;14/24)</formula>
    </cfRule>
    <cfRule type="expression" dxfId="7102" priority="94">
      <formula>B$9&lt;8/24</formula>
    </cfRule>
  </conditionalFormatting>
  <conditionalFormatting sqref="B44:B45 B61 B36:E36">
    <cfRule type="expression" dxfId="7101" priority="87">
      <formula>B$9&gt;=20/24</formula>
    </cfRule>
    <cfRule type="expression" dxfId="7100" priority="88">
      <formula>AND(B$9&gt;=14/24,B$9&lt;20/24)</formula>
    </cfRule>
    <cfRule type="expression" dxfId="7099" priority="89">
      <formula>AND(B$9&gt;=8/24,B$9&lt;14/24)</formula>
    </cfRule>
    <cfRule type="expression" dxfId="7098" priority="90">
      <formula>B$9&lt;8/24</formula>
    </cfRule>
  </conditionalFormatting>
  <conditionalFormatting sqref="B43">
    <cfRule type="expression" dxfId="7097" priority="83">
      <formula>B$9&gt;=20/24</formula>
    </cfRule>
    <cfRule type="expression" dxfId="7096" priority="84">
      <formula>AND(B$9&gt;=14/24,B$9&lt;20/24)</formula>
    </cfRule>
    <cfRule type="expression" dxfId="7095" priority="85">
      <formula>AND(B$9&gt;=8/24,B$9&lt;14/24)</formula>
    </cfRule>
    <cfRule type="expression" dxfId="7094" priority="86">
      <formula>B$9&lt;8/24</formula>
    </cfRule>
  </conditionalFormatting>
  <conditionalFormatting sqref="B43:B45 B36:E36">
    <cfRule type="expression" dxfId="7093" priority="82">
      <formula>B36&gt;$AG36</formula>
    </cfRule>
  </conditionalFormatting>
  <conditionalFormatting sqref="B90:B96 B12:B14 B16 B57:B60 B62:B71 B73:B77 B79:AF79 B86 C60:AG60 C77:AG77 B88:AF88 B29:E30 B18:E22 B24:E26 B32:E32 C57:E59 C64:E71 C73:E75">
    <cfRule type="expression" dxfId="7092" priority="78">
      <formula>B$9&gt;=20/24</formula>
    </cfRule>
    <cfRule type="expression" dxfId="7091" priority="79">
      <formula>AND(B$9&gt;=14/24,B$9&lt;20/24)</formula>
    </cfRule>
    <cfRule type="expression" dxfId="7090" priority="80">
      <formula>AND(B$9&gt;=8/24,B$9&lt;14/24)</formula>
    </cfRule>
    <cfRule type="expression" dxfId="7089" priority="81">
      <formula>B$9&lt;8/24</formula>
    </cfRule>
  </conditionalFormatting>
  <conditionalFormatting sqref="B33:E33">
    <cfRule type="expression" dxfId="7088" priority="74">
      <formula>B$9&gt;=20/24</formula>
    </cfRule>
    <cfRule type="expression" dxfId="7087" priority="75">
      <formula>AND(B$9&gt;=14/24,B$9&lt;20/24)</formula>
    </cfRule>
    <cfRule type="expression" dxfId="7086" priority="76">
      <formula>AND(B$9&gt;=8/24,B$9&lt;14/24)</formula>
    </cfRule>
    <cfRule type="expression" dxfId="7085" priority="77">
      <formula>B$9&lt;8/24</formula>
    </cfRule>
  </conditionalFormatting>
  <conditionalFormatting sqref="B46:B47 B55:B60 B38:AG38 C56:AG56 C60:AG60 B18:E22 B24:E27 B32:E33 C57:E59 B29:E30">
    <cfRule type="expression" dxfId="7084" priority="73">
      <formula>B18&gt;$AG18</formula>
    </cfRule>
  </conditionalFormatting>
  <conditionalFormatting sqref="B35:E35">
    <cfRule type="expression" dxfId="7083" priority="69">
      <formula>B$9&gt;=20/24</formula>
    </cfRule>
    <cfRule type="expression" dxfId="7082" priority="70">
      <formula>AND(B$9&gt;=14/24,B$9&lt;20/24)</formula>
    </cfRule>
    <cfRule type="expression" dxfId="7081" priority="71">
      <formula>AND(B$9&gt;=8/24,B$9&lt;14/24)</formula>
    </cfRule>
    <cfRule type="expression" dxfId="7080" priority="72">
      <formula>B$9&lt;8/24</formula>
    </cfRule>
  </conditionalFormatting>
  <conditionalFormatting sqref="B15">
    <cfRule type="expression" dxfId="7079" priority="65">
      <formula>B$9&gt;=20/24</formula>
    </cfRule>
    <cfRule type="expression" dxfId="7078" priority="66">
      <formula>AND(B$9&gt;=14/24,B$9&lt;20/24)</formula>
    </cfRule>
    <cfRule type="expression" dxfId="7077" priority="67">
      <formula>AND(B$9&gt;=8/24,B$9&lt;14/24)</formula>
    </cfRule>
    <cfRule type="expression" dxfId="7076" priority="68">
      <formula>B$9&lt;8/24</formula>
    </cfRule>
  </conditionalFormatting>
  <conditionalFormatting sqref="B34:E34">
    <cfRule type="expression" dxfId="7075" priority="61">
      <formula>B$9&gt;=20/24</formula>
    </cfRule>
    <cfRule type="expression" dxfId="7074" priority="62">
      <formula>AND(B$9&gt;=14/24,B$9&lt;20/24)</formula>
    </cfRule>
    <cfRule type="expression" dxfId="7073" priority="63">
      <formula>AND(B$9&gt;=8/24,B$9&lt;14/24)</formula>
    </cfRule>
    <cfRule type="expression" dxfId="7072" priority="64">
      <formula>B$9&lt;8/24</formula>
    </cfRule>
  </conditionalFormatting>
  <conditionalFormatting sqref="B34:E34">
    <cfRule type="expression" dxfId="7071" priority="60">
      <formula>B34&gt;$AG34</formula>
    </cfRule>
  </conditionalFormatting>
  <conditionalFormatting sqref="B48:B54 C51:P54">
    <cfRule type="expression" dxfId="7070" priority="56">
      <formula>B$9&gt;=20/24</formula>
    </cfRule>
    <cfRule type="expression" dxfId="7069" priority="57">
      <formula>AND(B$9&gt;=14/24,B$9&lt;20/24)</formula>
    </cfRule>
    <cfRule type="expression" dxfId="7068" priority="58">
      <formula>AND(B$9&gt;=8/24,B$9&lt;14/24)</formula>
    </cfRule>
    <cfRule type="expression" dxfId="7067" priority="59">
      <formula>B$9&lt;8/24</formula>
    </cfRule>
  </conditionalFormatting>
  <conditionalFormatting sqref="B48:B54 C51:P54">
    <cfRule type="expression" dxfId="7066" priority="55">
      <formula>B48&gt;$AG48</formula>
    </cfRule>
  </conditionalFormatting>
  <conditionalFormatting sqref="B27:E27">
    <cfRule type="expression" dxfId="7065" priority="51">
      <formula>B$9&gt;=20/24</formula>
    </cfRule>
    <cfRule type="expression" dxfId="7064" priority="52">
      <formula>AND(B$9&gt;=14/24,B$9&lt;20/24)</formula>
    </cfRule>
    <cfRule type="expression" dxfId="7063" priority="53">
      <formula>AND(B$9&gt;=8/24,B$9&lt;14/24)</formula>
    </cfRule>
    <cfRule type="expression" dxfId="7062" priority="54">
      <formula>B$9&lt;8/24</formula>
    </cfRule>
  </conditionalFormatting>
  <conditionalFormatting sqref="B17:E17 B23:E23">
    <cfRule type="expression" dxfId="7061" priority="47">
      <formula>B$9&gt;=20/24</formula>
    </cfRule>
    <cfRule type="expression" dxfId="7060" priority="48">
      <formula>AND(B$9&gt;=14/24,B$9&lt;20/24)</formula>
    </cfRule>
    <cfRule type="expression" dxfId="7059" priority="49">
      <formula>AND(B$9&gt;=8/24,B$9&lt;14/24)</formula>
    </cfRule>
    <cfRule type="expression" dxfId="7058" priority="50">
      <formula>B$9&lt;8/24</formula>
    </cfRule>
  </conditionalFormatting>
  <conditionalFormatting sqref="B17:E17 B23:E23">
    <cfRule type="expression" dxfId="7057" priority="46">
      <formula>B17&gt;$AG17</formula>
    </cfRule>
  </conditionalFormatting>
  <conditionalFormatting sqref="A34">
    <cfRule type="expression" dxfId="7056" priority="45">
      <formula>$AH34=0</formula>
    </cfRule>
  </conditionalFormatting>
  <conditionalFormatting sqref="B72:AF72">
    <cfRule type="expression" dxfId="7055" priority="41">
      <formula>B$9&gt;=20/24</formula>
    </cfRule>
    <cfRule type="expression" dxfId="7054" priority="42">
      <formula>AND(B$9&gt;=14/24,B$9&lt;20/24)</formula>
    </cfRule>
    <cfRule type="expression" dxfId="7053" priority="43">
      <formula>AND(B$9&gt;=8/24,B$9&lt;14/24)</formula>
    </cfRule>
    <cfRule type="expression" dxfId="7052" priority="44">
      <formula>B$9&lt;8/24</formula>
    </cfRule>
  </conditionalFormatting>
  <conditionalFormatting sqref="B81:AF85">
    <cfRule type="expression" dxfId="7051" priority="37">
      <formula>B$9&gt;=20/24</formula>
    </cfRule>
    <cfRule type="expression" dxfId="7050" priority="38">
      <formula>AND(B$9&gt;=14/24,B$9&lt;20/24)</formula>
    </cfRule>
    <cfRule type="expression" dxfId="7049" priority="39">
      <formula>AND(B$9&gt;=8/24,B$9&lt;14/24)</formula>
    </cfRule>
    <cfRule type="expression" dxfId="7048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F39:AF41">
    <cfRule type="expression" dxfId="7047" priority="33">
      <formula>F$9&gt;=20/24</formula>
    </cfRule>
    <cfRule type="expression" dxfId="7046" priority="34">
      <formula>AND(F$9&gt;=14/24,F$9&lt;20/24)</formula>
    </cfRule>
    <cfRule type="expression" dxfId="7045" priority="35">
      <formula>AND(F$9&gt;=8/24,F$9&lt;14/24)</formula>
    </cfRule>
    <cfRule type="expression" dxfId="7044" priority="36">
      <formula>F$9&lt;8/24</formula>
    </cfRule>
  </conditionalFormatting>
  <conditionalFormatting sqref="F39:AF41">
    <cfRule type="expression" dxfId="7043" priority="32">
      <formula>F39&gt;$AG39</formula>
    </cfRule>
  </conditionalFormatting>
  <conditionalFormatting sqref="B39:B42 C42:AG42 C39:E41">
    <cfRule type="expression" dxfId="7042" priority="28">
      <formula>B$9&gt;=20/24</formula>
    </cfRule>
    <cfRule type="expression" dxfId="7041" priority="29">
      <formula>AND(B$9&gt;=14/24,B$9&lt;20/24)</formula>
    </cfRule>
    <cfRule type="expression" dxfId="7040" priority="30">
      <formula>AND(B$9&gt;=8/24,B$9&lt;14/24)</formula>
    </cfRule>
    <cfRule type="expression" dxfId="7039" priority="31">
      <formula>B$9&lt;8/24</formula>
    </cfRule>
  </conditionalFormatting>
  <conditionalFormatting sqref="B39:B42 C42:AG42 C39:E41">
    <cfRule type="expression" dxfId="7038" priority="27">
      <formula>B39&gt;$AG39</formula>
    </cfRule>
  </conditionalFormatting>
  <conditionalFormatting sqref="C97:AF97">
    <cfRule type="expression" dxfId="7037" priority="23">
      <formula>C$9&gt;=20/24</formula>
    </cfRule>
    <cfRule type="expression" dxfId="7036" priority="24">
      <formula>AND(C$9&gt;=14/24,C$9&lt;20/24)</formula>
    </cfRule>
    <cfRule type="expression" dxfId="7035" priority="25">
      <formula>AND(C$9&gt;=8/24,C$9&lt;14/24)</formula>
    </cfRule>
    <cfRule type="expression" dxfId="7034" priority="26">
      <formula>C$9&lt;8/24</formula>
    </cfRule>
  </conditionalFormatting>
  <conditionalFormatting sqref="B97">
    <cfRule type="expression" dxfId="7033" priority="19">
      <formula>B$9&gt;=20/24</formula>
    </cfRule>
    <cfRule type="expression" dxfId="7032" priority="20">
      <formula>AND(B$9&gt;=14/24,B$9&lt;20/24)</formula>
    </cfRule>
    <cfRule type="expression" dxfId="7031" priority="21">
      <formula>AND(B$9&gt;=8/24,B$9&lt;14/24)</formula>
    </cfRule>
    <cfRule type="expression" dxfId="7030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7029" priority="12">
      <formula>$AH31=0</formula>
    </cfRule>
  </conditionalFormatting>
  <conditionalFormatting sqref="A80">
    <cfRule type="expression" dxfId="7028" priority="10">
      <formula>$AH80=0</formula>
    </cfRule>
  </conditionalFormatting>
  <conditionalFormatting sqref="A77">
    <cfRule type="expression" dxfId="7027" priority="11">
      <formula>$AH77=0</formula>
    </cfRule>
  </conditionalFormatting>
  <conditionalFormatting sqref="A106">
    <cfRule type="expression" dxfId="7026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F3464637-7908-4113-9F2A-7D6BEDEB7BA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99B7960F-ED65-4199-A9A9-8E347F0A9EF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9D58D69A-ACAB-4C6E-9519-252E5ACE3E5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D063B958-594C-4A53-B347-2179AA71333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C8B20012-A1B2-4573-A284-ED605F63098E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2E8914F2-F9CC-4333-8E4F-821D472AA7E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090B9110-E159-48BC-8EDA-F049C00AF9C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BF81F79B-BC40-48B3-9C13-1AFFA3E6436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D4D68251-8487-4958-AB2B-552DB34FD6D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6F9F7707-B224-40D9-958F-710A1ADC080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2A730277-C3C0-4230-BC8C-3013A72442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C585B941-3FCD-4B56-8FD9-20091DC4664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8BB2B851-69E9-4463-8CCE-C47DBA8293E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CJ493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C49" sqref="C49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5" width="8.28515625" style="176" bestFit="1" customWidth="1"/>
    <col min="6" max="6" width="6.42578125" style="176" bestFit="1" customWidth="1"/>
    <col min="7" max="7" width="8.28515625" style="176" bestFit="1" customWidth="1"/>
    <col min="8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21.85546875" style="175" bestFit="1" customWidth="1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2079/02/7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45</v>
      </c>
      <c r="C5" s="205">
        <f t="shared" si="0"/>
        <v>43</v>
      </c>
      <c r="D5" s="205">
        <f t="shared" si="0"/>
        <v>42</v>
      </c>
      <c r="E5" s="205">
        <f t="shared" si="0"/>
        <v>41</v>
      </c>
      <c r="F5" s="205">
        <f t="shared" si="0"/>
        <v>38</v>
      </c>
      <c r="G5" s="205">
        <f t="shared" si="0"/>
        <v>31</v>
      </c>
      <c r="H5" s="205">
        <f t="shared" si="0"/>
        <v>22</v>
      </c>
      <c r="I5" s="205">
        <f t="shared" si="0"/>
        <v>20</v>
      </c>
      <c r="J5" s="205">
        <f t="shared" si="0"/>
        <v>45</v>
      </c>
      <c r="K5" s="205">
        <f t="shared" si="0"/>
        <v>52</v>
      </c>
      <c r="L5" s="205">
        <f t="shared" si="0"/>
        <v>47.9</v>
      </c>
      <c r="M5" s="205">
        <f t="shared" si="0"/>
        <v>54</v>
      </c>
      <c r="N5" s="205">
        <f t="shared" si="0"/>
        <v>61.2</v>
      </c>
      <c r="O5" s="205">
        <f t="shared" si="0"/>
        <v>68.099999999999994</v>
      </c>
      <c r="P5" s="205">
        <f t="shared" si="0"/>
        <v>65</v>
      </c>
      <c r="Q5" s="205">
        <f t="shared" si="0"/>
        <v>59.5</v>
      </c>
      <c r="R5" s="205">
        <f t="shared" si="0"/>
        <v>65.2</v>
      </c>
      <c r="S5" s="205">
        <f t="shared" si="0"/>
        <v>64.22999999999999</v>
      </c>
      <c r="T5" s="205">
        <f t="shared" si="0"/>
        <v>79.42</v>
      </c>
      <c r="U5" s="205">
        <f t="shared" si="0"/>
        <v>60.3</v>
      </c>
      <c r="V5" s="205">
        <f t="shared" si="0"/>
        <v>51.3</v>
      </c>
      <c r="W5" s="205">
        <f t="shared" si="0"/>
        <v>50</v>
      </c>
      <c r="X5" s="205">
        <f t="shared" si="0"/>
        <v>31.5</v>
      </c>
      <c r="Y5" s="205">
        <f t="shared" si="0"/>
        <v>33.4</v>
      </c>
      <c r="Z5" s="205">
        <f t="shared" si="0"/>
        <v>63.1</v>
      </c>
      <c r="AA5" s="205">
        <f t="shared" si="0"/>
        <v>66.099999999999994</v>
      </c>
      <c r="AB5" s="205">
        <f t="shared" si="0"/>
        <v>72.2</v>
      </c>
      <c r="AC5" s="205">
        <f t="shared" si="0"/>
        <v>41.1</v>
      </c>
      <c r="AD5" s="205">
        <f t="shared" si="0"/>
        <v>36.6</v>
      </c>
      <c r="AE5" s="205">
        <f t="shared" si="0"/>
        <v>35.200000000000003</v>
      </c>
      <c r="AF5" s="205">
        <f>B72</f>
        <v>45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1923MW at 7:30hr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Load=1779</v>
      </c>
      <c r="B7" s="210">
        <f>B79</f>
        <v>1838.6399999999999</v>
      </c>
      <c r="C7" s="210">
        <f t="shared" ref="C7:AF7" si="1">C79</f>
        <v>1828.6399999999999</v>
      </c>
      <c r="D7" s="210">
        <f t="shared" si="1"/>
        <v>1813.6399999999999</v>
      </c>
      <c r="E7" s="210">
        <f t="shared" si="1"/>
        <v>1815.04</v>
      </c>
      <c r="F7" s="210">
        <f t="shared" si="1"/>
        <v>1814.04</v>
      </c>
      <c r="G7" s="210">
        <f t="shared" si="1"/>
        <v>1814.04</v>
      </c>
      <c r="H7" s="210">
        <f t="shared" si="1"/>
        <v>1817.04</v>
      </c>
      <c r="I7" s="210">
        <f t="shared" si="1"/>
        <v>1805.54</v>
      </c>
      <c r="J7" s="210">
        <f t="shared" si="1"/>
        <v>1816.94</v>
      </c>
      <c r="K7" s="210">
        <f t="shared" si="1"/>
        <v>1875.94</v>
      </c>
      <c r="L7" s="210">
        <f t="shared" si="1"/>
        <v>1922.94</v>
      </c>
      <c r="M7" s="210">
        <f t="shared" si="1"/>
        <v>1857.8400000000001</v>
      </c>
      <c r="N7" s="210">
        <f t="shared" si="1"/>
        <v>1863.94</v>
      </c>
      <c r="O7" s="210">
        <f t="shared" si="1"/>
        <v>1895.14</v>
      </c>
      <c r="P7" s="210">
        <f t="shared" si="1"/>
        <v>1902.04</v>
      </c>
      <c r="Q7" s="210">
        <f t="shared" si="1"/>
        <v>1921.94</v>
      </c>
      <c r="R7" s="210">
        <f t="shared" si="1"/>
        <v>1881.64</v>
      </c>
      <c r="S7" s="210">
        <f t="shared" si="1"/>
        <v>1898.8400000000001</v>
      </c>
      <c r="T7" s="210">
        <f t="shared" si="1"/>
        <v>1784.0700000000002</v>
      </c>
      <c r="U7" s="210">
        <f t="shared" si="1"/>
        <v>1867.7599999999998</v>
      </c>
      <c r="V7" s="210">
        <f t="shared" si="1"/>
        <v>1868.6399999999999</v>
      </c>
      <c r="W7" s="210">
        <f t="shared" si="1"/>
        <v>1779.0399999999997</v>
      </c>
      <c r="X7" s="210">
        <f t="shared" si="1"/>
        <v>1874.84</v>
      </c>
      <c r="Y7" s="210">
        <f t="shared" si="1"/>
        <v>1853.2399999999998</v>
      </c>
      <c r="Z7" s="210">
        <f t="shared" si="1"/>
        <v>1883.1399999999999</v>
      </c>
      <c r="AA7" s="210">
        <f t="shared" si="1"/>
        <v>1904.0399999999997</v>
      </c>
      <c r="AB7" s="210">
        <f t="shared" si="1"/>
        <v>1849.04</v>
      </c>
      <c r="AC7" s="210">
        <f t="shared" si="1"/>
        <v>1848.04</v>
      </c>
      <c r="AD7" s="210">
        <f t="shared" si="1"/>
        <v>1822.1399999999996</v>
      </c>
      <c r="AE7" s="210">
        <f t="shared" si="1"/>
        <v>1827.1399999999999</v>
      </c>
      <c r="AF7" s="210">
        <f t="shared" si="1"/>
        <v>1807.14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53.5</v>
      </c>
      <c r="C11" s="221">
        <v>53.5</v>
      </c>
      <c r="D11" s="221">
        <v>53.5</v>
      </c>
      <c r="E11" s="221">
        <v>53.5</v>
      </c>
      <c r="F11" s="221">
        <v>53.5</v>
      </c>
      <c r="G11" s="221">
        <v>53.5</v>
      </c>
      <c r="H11" s="221">
        <v>53.5</v>
      </c>
      <c r="I11" s="221">
        <v>53.5</v>
      </c>
      <c r="J11" s="221">
        <v>53.5</v>
      </c>
      <c r="K11" s="221">
        <v>53.5</v>
      </c>
      <c r="L11" s="221">
        <v>53.5</v>
      </c>
      <c r="M11" s="221">
        <v>53.5</v>
      </c>
      <c r="N11" s="221">
        <v>53.5</v>
      </c>
      <c r="O11" s="221">
        <v>53.5</v>
      </c>
      <c r="P11" s="221">
        <v>53.5</v>
      </c>
      <c r="Q11" s="221">
        <v>53.5</v>
      </c>
      <c r="R11" s="221">
        <v>53.5</v>
      </c>
      <c r="S11" s="221">
        <v>53.5</v>
      </c>
      <c r="T11" s="221">
        <v>53.5</v>
      </c>
      <c r="U11" s="221">
        <v>53.5</v>
      </c>
      <c r="V11" s="221">
        <v>53.5</v>
      </c>
      <c r="W11" s="221">
        <v>53.5</v>
      </c>
      <c r="X11" s="221">
        <v>53.5</v>
      </c>
      <c r="Y11" s="221">
        <v>53.5</v>
      </c>
      <c r="Z11" s="221">
        <v>53.5</v>
      </c>
      <c r="AA11" s="224">
        <v>53.5</v>
      </c>
      <c r="AB11" s="224">
        <v>53.5</v>
      </c>
      <c r="AC11" s="224">
        <v>53.5</v>
      </c>
      <c r="AD11" s="224">
        <v>53.5</v>
      </c>
      <c r="AE11" s="224">
        <v>53.6</v>
      </c>
      <c r="AF11" s="224">
        <v>53.6</v>
      </c>
      <c r="AG11" s="225">
        <v>52.4</v>
      </c>
      <c r="AH11" s="226">
        <f>MAX(B11:AF11)</f>
        <v>53.6</v>
      </c>
      <c r="AI11" s="227">
        <f>MIN(B11:AF11)</f>
        <v>53.5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50.6</v>
      </c>
      <c r="C12" s="221">
        <v>50.6</v>
      </c>
      <c r="D12" s="221">
        <v>50.6</v>
      </c>
      <c r="E12" s="221">
        <v>50.6</v>
      </c>
      <c r="F12" s="221">
        <v>50.6</v>
      </c>
      <c r="G12" s="221">
        <v>50.6</v>
      </c>
      <c r="H12" s="221">
        <v>50.6</v>
      </c>
      <c r="I12" s="221">
        <v>50.6</v>
      </c>
      <c r="J12" s="221">
        <v>50.6</v>
      </c>
      <c r="K12" s="221">
        <v>50.6</v>
      </c>
      <c r="L12" s="221">
        <v>50.6</v>
      </c>
      <c r="M12" s="221">
        <v>50.6</v>
      </c>
      <c r="N12" s="221">
        <v>50.6</v>
      </c>
      <c r="O12" s="221">
        <v>50.6</v>
      </c>
      <c r="P12" s="221">
        <v>50.6</v>
      </c>
      <c r="Q12" s="221">
        <v>50.6</v>
      </c>
      <c r="R12" s="221">
        <v>50.6</v>
      </c>
      <c r="S12" s="221">
        <v>50.6</v>
      </c>
      <c r="T12" s="221">
        <v>50.6</v>
      </c>
      <c r="U12" s="221">
        <v>50.6</v>
      </c>
      <c r="V12" s="221">
        <v>50.6</v>
      </c>
      <c r="W12" s="221">
        <v>0</v>
      </c>
      <c r="X12" s="221">
        <v>50.4</v>
      </c>
      <c r="Y12" s="221">
        <v>50.4</v>
      </c>
      <c r="Z12" s="221">
        <v>50.4</v>
      </c>
      <c r="AA12" s="221">
        <v>50.4</v>
      </c>
      <c r="AB12" s="221">
        <v>50.4</v>
      </c>
      <c r="AC12" s="221">
        <v>50.4</v>
      </c>
      <c r="AD12" s="221">
        <v>50.9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50.9</v>
      </c>
      <c r="AI12" s="227">
        <f t="shared" ref="AI12:AI79" si="3">MIN(B12:AF12)</f>
        <v>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45.8</v>
      </c>
      <c r="C13" s="221">
        <v>45.8</v>
      </c>
      <c r="D13" s="221">
        <v>45.8</v>
      </c>
      <c r="E13" s="221">
        <v>45.8</v>
      </c>
      <c r="F13" s="221">
        <v>45.8</v>
      </c>
      <c r="G13" s="221">
        <v>45.8</v>
      </c>
      <c r="H13" s="221">
        <v>45.8</v>
      </c>
      <c r="I13" s="221">
        <v>45.8</v>
      </c>
      <c r="J13" s="221">
        <v>45.8</v>
      </c>
      <c r="K13" s="221">
        <v>45.8</v>
      </c>
      <c r="L13" s="221">
        <v>45.8</v>
      </c>
      <c r="M13" s="221">
        <v>45.8</v>
      </c>
      <c r="N13" s="221">
        <v>45.8</v>
      </c>
      <c r="O13" s="221">
        <v>45.8</v>
      </c>
      <c r="P13" s="221">
        <v>45.8</v>
      </c>
      <c r="Q13" s="221">
        <v>45.8</v>
      </c>
      <c r="R13" s="221">
        <v>45.8</v>
      </c>
      <c r="S13" s="221">
        <v>45.8</v>
      </c>
      <c r="T13" s="221">
        <v>45.8</v>
      </c>
      <c r="U13" s="221">
        <v>45.8</v>
      </c>
      <c r="V13" s="221">
        <v>45.8</v>
      </c>
      <c r="W13" s="221">
        <v>45.8</v>
      </c>
      <c r="X13" s="221">
        <v>45.8</v>
      </c>
      <c r="Y13" s="221">
        <v>45.8</v>
      </c>
      <c r="Z13" s="221">
        <v>45.8</v>
      </c>
      <c r="AA13" s="221">
        <v>45.8</v>
      </c>
      <c r="AB13" s="221">
        <v>45.8</v>
      </c>
      <c r="AC13" s="221">
        <v>45.8</v>
      </c>
      <c r="AD13" s="221">
        <v>45.9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30</v>
      </c>
      <c r="D14" s="221">
        <v>30</v>
      </c>
      <c r="E14" s="221">
        <v>30</v>
      </c>
      <c r="F14" s="221">
        <v>30</v>
      </c>
      <c r="G14" s="221">
        <v>30</v>
      </c>
      <c r="H14" s="221">
        <v>30</v>
      </c>
      <c r="I14" s="221">
        <v>30</v>
      </c>
      <c r="J14" s="221">
        <v>35</v>
      </c>
      <c r="K14" s="221">
        <v>35</v>
      </c>
      <c r="L14" s="221">
        <v>35</v>
      </c>
      <c r="M14" s="221">
        <v>38</v>
      </c>
      <c r="N14" s="221">
        <v>38</v>
      </c>
      <c r="O14" s="221">
        <v>38</v>
      </c>
      <c r="P14" s="221">
        <v>38</v>
      </c>
      <c r="Q14" s="221">
        <v>38</v>
      </c>
      <c r="R14" s="221">
        <v>28</v>
      </c>
      <c r="S14" s="221">
        <v>35</v>
      </c>
      <c r="T14" s="221">
        <v>35</v>
      </c>
      <c r="U14" s="221">
        <v>35</v>
      </c>
      <c r="V14" s="221">
        <v>35</v>
      </c>
      <c r="W14" s="221">
        <v>35</v>
      </c>
      <c r="X14" s="221">
        <v>35</v>
      </c>
      <c r="Y14" s="221">
        <v>35</v>
      </c>
      <c r="Z14" s="221">
        <v>35</v>
      </c>
      <c r="AA14" s="221">
        <v>36</v>
      </c>
      <c r="AB14" s="221">
        <v>36</v>
      </c>
      <c r="AC14" s="221">
        <v>36</v>
      </c>
      <c r="AD14" s="221">
        <v>40</v>
      </c>
      <c r="AE14" s="221">
        <v>40</v>
      </c>
      <c r="AF14" s="221">
        <v>35</v>
      </c>
      <c r="AG14" s="229">
        <v>42</v>
      </c>
      <c r="AH14" s="226">
        <f t="shared" si="2"/>
        <v>40</v>
      </c>
      <c r="AI14" s="227">
        <f t="shared" si="3"/>
        <v>28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20</v>
      </c>
      <c r="D15" s="221">
        <v>10</v>
      </c>
      <c r="E15" s="221">
        <v>15</v>
      </c>
      <c r="F15" s="221">
        <v>15</v>
      </c>
      <c r="G15" s="221">
        <v>15</v>
      </c>
      <c r="H15" s="221">
        <v>20</v>
      </c>
      <c r="I15" s="221">
        <v>20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15.2</v>
      </c>
      <c r="V15" s="221">
        <v>30</v>
      </c>
      <c r="W15" s="221">
        <v>0</v>
      </c>
      <c r="X15" s="221">
        <v>30</v>
      </c>
      <c r="Y15" s="221">
        <v>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10.8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26.4</v>
      </c>
      <c r="C16" s="221">
        <v>26.4</v>
      </c>
      <c r="D16" s="221">
        <v>26.4</v>
      </c>
      <c r="E16" s="221">
        <v>23.8</v>
      </c>
      <c r="F16" s="221">
        <v>23.8</v>
      </c>
      <c r="G16" s="221">
        <v>23.8</v>
      </c>
      <c r="H16" s="221">
        <v>23.8</v>
      </c>
      <c r="I16" s="221">
        <v>23.8</v>
      </c>
      <c r="J16" s="221">
        <v>22.2</v>
      </c>
      <c r="K16" s="221">
        <v>22.2</v>
      </c>
      <c r="L16" s="221">
        <v>22.2</v>
      </c>
      <c r="M16" s="221">
        <v>22.2</v>
      </c>
      <c r="N16" s="221">
        <v>22.2</v>
      </c>
      <c r="O16" s="221">
        <v>22.2</v>
      </c>
      <c r="P16" s="221">
        <v>22.2</v>
      </c>
      <c r="Q16" s="221">
        <v>22.2</v>
      </c>
      <c r="R16" s="221">
        <v>22.2</v>
      </c>
      <c r="S16" s="221">
        <v>26</v>
      </c>
      <c r="T16" s="221">
        <v>26</v>
      </c>
      <c r="U16" s="221">
        <v>26</v>
      </c>
      <c r="V16" s="221">
        <v>26</v>
      </c>
      <c r="W16" s="221">
        <v>26</v>
      </c>
      <c r="X16" s="221">
        <v>26</v>
      </c>
      <c r="Y16" s="221">
        <v>26</v>
      </c>
      <c r="Z16" s="221">
        <v>26</v>
      </c>
      <c r="AA16" s="221">
        <v>26</v>
      </c>
      <c r="AB16" s="221">
        <v>26</v>
      </c>
      <c r="AC16" s="221">
        <v>26</v>
      </c>
      <c r="AD16" s="221">
        <v>26.5</v>
      </c>
      <c r="AE16" s="221">
        <v>26.3</v>
      </c>
      <c r="AF16" s="221">
        <v>26.4</v>
      </c>
      <c r="AG16" s="229">
        <v>25</v>
      </c>
      <c r="AH16" s="226">
        <f t="shared" si="2"/>
        <v>26.5</v>
      </c>
      <c r="AI16" s="227">
        <f t="shared" si="3"/>
        <v>22.2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13</v>
      </c>
      <c r="C17" s="221">
        <v>13</v>
      </c>
      <c r="D17" s="221">
        <v>13</v>
      </c>
      <c r="E17" s="221">
        <v>13</v>
      </c>
      <c r="F17" s="221">
        <v>13</v>
      </c>
      <c r="G17" s="221">
        <v>13</v>
      </c>
      <c r="H17" s="221">
        <v>13</v>
      </c>
      <c r="I17" s="221">
        <v>13</v>
      </c>
      <c r="J17" s="221">
        <v>13</v>
      </c>
      <c r="K17" s="221">
        <v>13</v>
      </c>
      <c r="L17" s="221">
        <v>13</v>
      </c>
      <c r="M17" s="221">
        <v>13</v>
      </c>
      <c r="N17" s="221">
        <v>13</v>
      </c>
      <c r="O17" s="221">
        <v>13</v>
      </c>
      <c r="P17" s="221">
        <v>13</v>
      </c>
      <c r="Q17" s="221">
        <v>13</v>
      </c>
      <c r="R17" s="221">
        <v>13</v>
      </c>
      <c r="S17" s="221">
        <v>13</v>
      </c>
      <c r="T17" s="221">
        <v>13</v>
      </c>
      <c r="U17" s="221">
        <v>13</v>
      </c>
      <c r="V17" s="221">
        <v>13</v>
      </c>
      <c r="W17" s="221">
        <v>13</v>
      </c>
      <c r="X17" s="221">
        <v>13</v>
      </c>
      <c r="Y17" s="221">
        <v>13</v>
      </c>
      <c r="Z17" s="221">
        <v>13</v>
      </c>
      <c r="AA17" s="221">
        <v>13</v>
      </c>
      <c r="AB17" s="221">
        <v>13</v>
      </c>
      <c r="AC17" s="221">
        <v>13</v>
      </c>
      <c r="AD17" s="221">
        <v>13</v>
      </c>
      <c r="AE17" s="221">
        <v>13</v>
      </c>
      <c r="AF17" s="221">
        <v>13</v>
      </c>
      <c r="AG17" s="229">
        <v>25</v>
      </c>
      <c r="AH17" s="226">
        <f t="shared" si="2"/>
        <v>13</v>
      </c>
      <c r="AI17" s="227">
        <f t="shared" si="3"/>
        <v>13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33.200000000000003</v>
      </c>
      <c r="E19" s="221">
        <v>33.200000000000003</v>
      </c>
      <c r="F19" s="221">
        <v>33.200000000000003</v>
      </c>
      <c r="G19" s="221">
        <v>33.200000000000003</v>
      </c>
      <c r="H19" s="221">
        <v>33.200000000000003</v>
      </c>
      <c r="I19" s="221">
        <v>33.200000000000003</v>
      </c>
      <c r="J19" s="221">
        <v>33.200000000000003</v>
      </c>
      <c r="K19" s="221">
        <v>33.200000000000003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25.1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33.299999999999997</v>
      </c>
      <c r="AF19" s="221">
        <v>33.299999999999997</v>
      </c>
      <c r="AG19" s="229">
        <v>24.2</v>
      </c>
      <c r="AH19" s="226">
        <f t="shared" si="2"/>
        <v>33.299999999999997</v>
      </c>
      <c r="AI19" s="227">
        <f t="shared" si="3"/>
        <v>25.1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23.4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13</v>
      </c>
      <c r="C25" s="221">
        <v>13</v>
      </c>
      <c r="D25" s="221">
        <v>10</v>
      </c>
      <c r="E25" s="221">
        <v>10</v>
      </c>
      <c r="F25" s="221">
        <v>10</v>
      </c>
      <c r="G25" s="221">
        <v>13</v>
      </c>
      <c r="H25" s="221">
        <v>15</v>
      </c>
      <c r="I25" s="221">
        <v>15</v>
      </c>
      <c r="J25" s="221">
        <v>15</v>
      </c>
      <c r="K25" s="221">
        <v>15</v>
      </c>
      <c r="L25" s="221">
        <v>15</v>
      </c>
      <c r="M25" s="221">
        <v>15</v>
      </c>
      <c r="N25" s="221">
        <v>15</v>
      </c>
      <c r="O25" s="221">
        <v>15</v>
      </c>
      <c r="P25" s="221">
        <v>15</v>
      </c>
      <c r="Q25" s="221">
        <v>15</v>
      </c>
      <c r="R25" s="221">
        <v>15</v>
      </c>
      <c r="S25" s="221">
        <v>20</v>
      </c>
      <c r="T25" s="221">
        <v>18</v>
      </c>
      <c r="U25" s="221">
        <v>12</v>
      </c>
      <c r="V25" s="221">
        <v>12</v>
      </c>
      <c r="W25" s="221">
        <v>12</v>
      </c>
      <c r="X25" s="221">
        <v>12</v>
      </c>
      <c r="Y25" s="221">
        <v>12</v>
      </c>
      <c r="Z25" s="221">
        <v>12</v>
      </c>
      <c r="AA25" s="221">
        <v>12</v>
      </c>
      <c r="AB25" s="221">
        <v>12</v>
      </c>
      <c r="AC25" s="221">
        <v>4</v>
      </c>
      <c r="AD25" s="221">
        <v>4</v>
      </c>
      <c r="AE25" s="221">
        <v>15</v>
      </c>
      <c r="AF25" s="221">
        <v>15</v>
      </c>
      <c r="AG25" s="229">
        <v>20</v>
      </c>
      <c r="AH25" s="226">
        <f t="shared" si="2"/>
        <v>20</v>
      </c>
      <c r="AI25" s="227">
        <f t="shared" si="3"/>
        <v>4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6.4</v>
      </c>
      <c r="C32" s="221">
        <v>6.4</v>
      </c>
      <c r="D32" s="221">
        <v>6.4</v>
      </c>
      <c r="E32" s="221">
        <v>6.4</v>
      </c>
      <c r="F32" s="221">
        <v>6.4</v>
      </c>
      <c r="G32" s="221">
        <v>6.4</v>
      </c>
      <c r="H32" s="221">
        <v>6.4</v>
      </c>
      <c r="I32" s="221">
        <v>6.4</v>
      </c>
      <c r="J32" s="221">
        <v>6.4</v>
      </c>
      <c r="K32" s="221">
        <v>6.4</v>
      </c>
      <c r="L32" s="221">
        <v>6.4</v>
      </c>
      <c r="M32" s="221">
        <v>6.4</v>
      </c>
      <c r="N32" s="221">
        <v>6.4</v>
      </c>
      <c r="O32" s="221">
        <v>6.4</v>
      </c>
      <c r="P32" s="221">
        <v>6.4</v>
      </c>
      <c r="Q32" s="221">
        <v>6.4</v>
      </c>
      <c r="R32" s="221">
        <v>6.4</v>
      </c>
      <c r="S32" s="221">
        <v>6.4</v>
      </c>
      <c r="T32" s="221">
        <v>6.4</v>
      </c>
      <c r="U32" s="221">
        <v>6.4</v>
      </c>
      <c r="V32" s="221">
        <v>6.4</v>
      </c>
      <c r="W32" s="221">
        <v>6.4</v>
      </c>
      <c r="X32" s="221">
        <v>6.4</v>
      </c>
      <c r="Y32" s="221">
        <v>6.4</v>
      </c>
      <c r="Z32" s="221">
        <v>6.4</v>
      </c>
      <c r="AA32" s="221">
        <v>6.4</v>
      </c>
      <c r="AB32" s="221">
        <v>6.4</v>
      </c>
      <c r="AC32" s="221">
        <v>6.4</v>
      </c>
      <c r="AD32" s="221">
        <v>6.4</v>
      </c>
      <c r="AE32" s="221">
        <v>6.4</v>
      </c>
      <c r="AF32" s="221">
        <v>6.4</v>
      </c>
      <c r="AG32" s="230">
        <v>11.88</v>
      </c>
      <c r="AH32" s="226">
        <f t="shared" si="2"/>
        <v>6.4</v>
      </c>
      <c r="AI32" s="227">
        <f t="shared" si="3"/>
        <v>6.4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2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>
        <f t="shared" ref="E37:L37" si="4">61+102</f>
        <v>163</v>
      </c>
      <c r="F37" s="237">
        <f t="shared" si="4"/>
        <v>163</v>
      </c>
      <c r="G37" s="237">
        <f t="shared" si="4"/>
        <v>163</v>
      </c>
      <c r="H37" s="237">
        <f t="shared" si="4"/>
        <v>163</v>
      </c>
      <c r="I37" s="237">
        <f t="shared" si="4"/>
        <v>163</v>
      </c>
      <c r="J37" s="237">
        <f t="shared" si="4"/>
        <v>163</v>
      </c>
      <c r="K37" s="237">
        <f t="shared" si="4"/>
        <v>163</v>
      </c>
      <c r="L37" s="237">
        <f t="shared" si="4"/>
        <v>163</v>
      </c>
      <c r="M37" s="237">
        <f>55.4+100.7</f>
        <v>156.1</v>
      </c>
      <c r="N37" s="237">
        <f>59.1+101.1</f>
        <v>160.19999999999999</v>
      </c>
      <c r="O37" s="237">
        <f>60.5+101.4</f>
        <v>161.9</v>
      </c>
      <c r="P37" s="237">
        <f>60.5+101.4</f>
        <v>161.9</v>
      </c>
      <c r="Q37" s="237">
        <f>60.5+101.4</f>
        <v>161.9</v>
      </c>
      <c r="R37" s="237">
        <f>60.5+101.4</f>
        <v>161.9</v>
      </c>
      <c r="S37" s="237">
        <f>60.5+101.4</f>
        <v>161.9</v>
      </c>
      <c r="T37" s="239">
        <f>55.7+99.1</f>
        <v>154.80000000000001</v>
      </c>
      <c r="U37" s="239">
        <f>55.7+99.1</f>
        <v>154.80000000000001</v>
      </c>
      <c r="V37" s="239">
        <f>99.2+56.5</f>
        <v>155.69999999999999</v>
      </c>
      <c r="W37" s="239">
        <f>99.2+56.5</f>
        <v>155.69999999999999</v>
      </c>
      <c r="X37" s="239">
        <f>99.2+56.5</f>
        <v>155.69999999999999</v>
      </c>
      <c r="Y37" s="239">
        <f>99.2+56.5</f>
        <v>155.69999999999999</v>
      </c>
      <c r="Z37" s="239">
        <f>99.2+56.5</f>
        <v>155.69999999999999</v>
      </c>
      <c r="AA37" s="239">
        <v>155.69999999999999</v>
      </c>
      <c r="AB37" s="239">
        <f>55.2+91.1</f>
        <v>146.30000000000001</v>
      </c>
      <c r="AC37" s="239">
        <f>56.5+92.2</f>
        <v>148.69999999999999</v>
      </c>
      <c r="AD37" s="239">
        <f>56.7+95.7</f>
        <v>152.4</v>
      </c>
      <c r="AE37" s="239">
        <f>57.1+102</f>
        <v>159.1</v>
      </c>
      <c r="AF37" s="239">
        <f>56.9+102.4</f>
        <v>159.30000000000001</v>
      </c>
      <c r="AG37" s="235">
        <v>240</v>
      </c>
      <c r="AH37" s="226">
        <f t="shared" si="2"/>
        <v>163</v>
      </c>
      <c r="AI37" s="227">
        <f t="shared" si="3"/>
        <v>146.30000000000001</v>
      </c>
      <c r="AK37" s="228"/>
    </row>
    <row r="38" spans="1:88" ht="15.75" thickBot="1" x14ac:dyDescent="0.3">
      <c r="A38" s="240" t="s">
        <v>46</v>
      </c>
      <c r="B38" s="241">
        <f t="shared" ref="B38:AG38" si="5">SUM(B11:B36)</f>
        <v>821.19999999999982</v>
      </c>
      <c r="C38" s="241">
        <f t="shared" si="5"/>
        <v>811.19999999999982</v>
      </c>
      <c r="D38" s="241">
        <f t="shared" si="5"/>
        <v>798.19999999999993</v>
      </c>
      <c r="E38" s="241">
        <f t="shared" si="5"/>
        <v>800.59999999999991</v>
      </c>
      <c r="F38" s="241">
        <f t="shared" si="5"/>
        <v>800.59999999999991</v>
      </c>
      <c r="G38" s="241">
        <f t="shared" si="5"/>
        <v>803.59999999999991</v>
      </c>
      <c r="H38" s="241">
        <f t="shared" si="5"/>
        <v>810.59999999999991</v>
      </c>
      <c r="I38" s="241">
        <f t="shared" si="5"/>
        <v>810.59999999999991</v>
      </c>
      <c r="J38" s="241">
        <f t="shared" si="5"/>
        <v>823.99999999999989</v>
      </c>
      <c r="K38" s="241">
        <f t="shared" si="5"/>
        <v>823.99999999999989</v>
      </c>
      <c r="L38" s="241">
        <f t="shared" si="5"/>
        <v>823.99999999999989</v>
      </c>
      <c r="M38" s="241">
        <f t="shared" si="5"/>
        <v>826.99999999999989</v>
      </c>
      <c r="N38" s="241">
        <f t="shared" si="5"/>
        <v>826.99999999999989</v>
      </c>
      <c r="O38" s="241">
        <f t="shared" si="5"/>
        <v>826.99999999999989</v>
      </c>
      <c r="P38" s="241">
        <f t="shared" si="5"/>
        <v>826.99999999999989</v>
      </c>
      <c r="Q38" s="241">
        <f t="shared" si="5"/>
        <v>826.99999999999989</v>
      </c>
      <c r="R38" s="241">
        <f t="shared" si="5"/>
        <v>816.99999999999989</v>
      </c>
      <c r="S38" s="241">
        <f t="shared" si="5"/>
        <v>834.8</v>
      </c>
      <c r="T38" s="241">
        <f t="shared" si="5"/>
        <v>832.8</v>
      </c>
      <c r="U38" s="241">
        <f t="shared" si="5"/>
        <v>803.89999999999986</v>
      </c>
      <c r="V38" s="241">
        <f t="shared" si="5"/>
        <v>826.8</v>
      </c>
      <c r="W38" s="241">
        <f t="shared" si="5"/>
        <v>746.19999999999993</v>
      </c>
      <c r="X38" s="241">
        <f t="shared" si="5"/>
        <v>826.59999999999991</v>
      </c>
      <c r="Y38" s="241">
        <f t="shared" si="5"/>
        <v>796.59999999999991</v>
      </c>
      <c r="Z38" s="241">
        <f t="shared" si="5"/>
        <v>824.59999999999991</v>
      </c>
      <c r="AA38" s="241">
        <f t="shared" si="5"/>
        <v>825.59999999999991</v>
      </c>
      <c r="AB38" s="241">
        <f t="shared" si="5"/>
        <v>825.59999999999991</v>
      </c>
      <c r="AC38" s="241">
        <f t="shared" si="5"/>
        <v>817.59999999999991</v>
      </c>
      <c r="AD38" s="241">
        <f t="shared" si="5"/>
        <v>822.69999999999993</v>
      </c>
      <c r="AE38" s="241">
        <f t="shared" si="5"/>
        <v>833.3</v>
      </c>
      <c r="AF38" s="241">
        <f t="shared" si="5"/>
        <v>809.2</v>
      </c>
      <c r="AG38" s="242">
        <f t="shared" si="5"/>
        <v>665.78</v>
      </c>
      <c r="AH38" s="226">
        <f t="shared" si="2"/>
        <v>834.8</v>
      </c>
      <c r="AI38" s="227">
        <f t="shared" si="3"/>
        <v>746.19999999999993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6">SUM(C39:C41)</f>
        <v>538</v>
      </c>
      <c r="D42" s="241">
        <f t="shared" si="6"/>
        <v>538</v>
      </c>
      <c r="E42" s="241">
        <f t="shared" si="6"/>
        <v>538</v>
      </c>
      <c r="F42" s="241">
        <f t="shared" si="6"/>
        <v>538</v>
      </c>
      <c r="G42" s="241">
        <f t="shared" si="6"/>
        <v>538</v>
      </c>
      <c r="H42" s="241">
        <f t="shared" si="6"/>
        <v>538</v>
      </c>
      <c r="I42" s="241">
        <f t="shared" si="6"/>
        <v>538</v>
      </c>
      <c r="J42" s="241">
        <f t="shared" si="6"/>
        <v>538</v>
      </c>
      <c r="K42" s="241">
        <f t="shared" si="6"/>
        <v>538</v>
      </c>
      <c r="L42" s="241">
        <f t="shared" si="6"/>
        <v>538</v>
      </c>
      <c r="M42" s="241">
        <f t="shared" si="6"/>
        <v>538</v>
      </c>
      <c r="N42" s="241">
        <f t="shared" si="6"/>
        <v>538</v>
      </c>
      <c r="O42" s="241">
        <f t="shared" si="6"/>
        <v>538</v>
      </c>
      <c r="P42" s="241">
        <f t="shared" si="6"/>
        <v>538</v>
      </c>
      <c r="Q42" s="241">
        <f t="shared" si="6"/>
        <v>538</v>
      </c>
      <c r="R42" s="241">
        <f t="shared" si="6"/>
        <v>538</v>
      </c>
      <c r="S42" s="241">
        <f t="shared" si="6"/>
        <v>538</v>
      </c>
      <c r="T42" s="241">
        <f t="shared" si="6"/>
        <v>538</v>
      </c>
      <c r="U42" s="241">
        <f t="shared" si="6"/>
        <v>538</v>
      </c>
      <c r="V42" s="241">
        <f t="shared" si="6"/>
        <v>538</v>
      </c>
      <c r="W42" s="241">
        <f t="shared" si="6"/>
        <v>538</v>
      </c>
      <c r="X42" s="241">
        <f t="shared" si="6"/>
        <v>538</v>
      </c>
      <c r="Y42" s="241">
        <f t="shared" si="6"/>
        <v>538</v>
      </c>
      <c r="Z42" s="241">
        <f t="shared" si="6"/>
        <v>538</v>
      </c>
      <c r="AA42" s="241">
        <f t="shared" si="6"/>
        <v>538</v>
      </c>
      <c r="AB42" s="241">
        <f t="shared" si="6"/>
        <v>538</v>
      </c>
      <c r="AC42" s="241">
        <f t="shared" si="6"/>
        <v>538</v>
      </c>
      <c r="AD42" s="241">
        <f t="shared" si="6"/>
        <v>538</v>
      </c>
      <c r="AE42" s="241">
        <f t="shared" si="6"/>
        <v>538</v>
      </c>
      <c r="AF42" s="241">
        <f t="shared" si="6"/>
        <v>538</v>
      </c>
      <c r="AG42" s="242">
        <f t="shared" si="6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143.30000000000001</v>
      </c>
      <c r="C43" s="221">
        <v>143.30000000000001</v>
      </c>
      <c r="D43" s="221">
        <v>143.30000000000001</v>
      </c>
      <c r="E43" s="221">
        <v>143.30000000000001</v>
      </c>
      <c r="F43" s="221">
        <v>143.30000000000001</v>
      </c>
      <c r="G43" s="221">
        <v>143.30000000000001</v>
      </c>
      <c r="H43" s="221">
        <v>143.30000000000001</v>
      </c>
      <c r="I43" s="221">
        <v>143.30000000000001</v>
      </c>
      <c r="J43" s="221">
        <v>143.30000000000001</v>
      </c>
      <c r="K43" s="221">
        <v>143.30000000000001</v>
      </c>
      <c r="L43" s="221">
        <v>143.30000000000001</v>
      </c>
      <c r="M43" s="221">
        <v>143.30000000000001</v>
      </c>
      <c r="N43" s="221">
        <v>143.30000000000001</v>
      </c>
      <c r="O43" s="221">
        <v>143.30000000000001</v>
      </c>
      <c r="P43" s="221">
        <v>143.30000000000001</v>
      </c>
      <c r="Q43" s="221">
        <v>143.30000000000001</v>
      </c>
      <c r="R43" s="221">
        <v>143.30000000000001</v>
      </c>
      <c r="S43" s="221">
        <v>143.30000000000001</v>
      </c>
      <c r="T43" s="221">
        <v>0</v>
      </c>
      <c r="U43" s="221">
        <v>145.1</v>
      </c>
      <c r="V43" s="221">
        <v>144</v>
      </c>
      <c r="W43" s="221">
        <v>144</v>
      </c>
      <c r="X43" s="221">
        <v>144</v>
      </c>
      <c r="Y43" s="221">
        <v>144</v>
      </c>
      <c r="Z43" s="221">
        <v>144</v>
      </c>
      <c r="AA43" s="221">
        <v>144</v>
      </c>
      <c r="AB43" s="221">
        <v>144</v>
      </c>
      <c r="AC43" s="221">
        <v>143.69999999999999</v>
      </c>
      <c r="AD43" s="221">
        <v>143.6</v>
      </c>
      <c r="AE43" s="221">
        <v>143.80000000000001</v>
      </c>
      <c r="AF43" s="221">
        <v>143.30000000000001</v>
      </c>
      <c r="AG43" s="230">
        <v>144</v>
      </c>
      <c r="AH43" s="226">
        <f t="shared" si="2"/>
        <v>145.1</v>
      </c>
      <c r="AI43" s="227">
        <f t="shared" si="3"/>
        <v>0</v>
      </c>
      <c r="AK43" s="228"/>
    </row>
    <row r="44" spans="1:88" x14ac:dyDescent="0.25">
      <c r="A44" s="234" t="s">
        <v>52</v>
      </c>
      <c r="B44" s="245">
        <v>71</v>
      </c>
      <c r="C44" s="245">
        <v>71</v>
      </c>
      <c r="D44" s="245">
        <v>71</v>
      </c>
      <c r="E44" s="245">
        <v>71</v>
      </c>
      <c r="F44" s="245">
        <v>71</v>
      </c>
      <c r="G44" s="245">
        <v>71</v>
      </c>
      <c r="H44" s="245">
        <v>71</v>
      </c>
      <c r="I44" s="245">
        <v>71</v>
      </c>
      <c r="J44" s="245">
        <v>71</v>
      </c>
      <c r="K44" s="245">
        <v>71</v>
      </c>
      <c r="L44" s="245">
        <v>71</v>
      </c>
      <c r="M44" s="245">
        <v>71</v>
      </c>
      <c r="N44" s="245">
        <v>71</v>
      </c>
      <c r="O44" s="245">
        <v>71</v>
      </c>
      <c r="P44" s="245">
        <v>71</v>
      </c>
      <c r="Q44" s="245">
        <v>71</v>
      </c>
      <c r="R44" s="245">
        <v>71</v>
      </c>
      <c r="S44" s="245">
        <v>70</v>
      </c>
      <c r="T44" s="245">
        <v>70</v>
      </c>
      <c r="U44" s="245">
        <v>71.5</v>
      </c>
      <c r="V44" s="245">
        <v>70</v>
      </c>
      <c r="W44" s="245">
        <v>70</v>
      </c>
      <c r="X44" s="245">
        <v>70</v>
      </c>
      <c r="Y44" s="245">
        <v>70</v>
      </c>
      <c r="Z44" s="245">
        <v>70</v>
      </c>
      <c r="AA44" s="245">
        <v>70</v>
      </c>
      <c r="AB44" s="245">
        <v>67</v>
      </c>
      <c r="AC44" s="245">
        <v>66.599999999999994</v>
      </c>
      <c r="AD44" s="245">
        <v>67.099999999999994</v>
      </c>
      <c r="AE44" s="245">
        <v>66.3</v>
      </c>
      <c r="AF44" s="245">
        <v>69.2</v>
      </c>
      <c r="AG44" s="235">
        <v>70</v>
      </c>
      <c r="AH44" s="226">
        <f t="shared" si="2"/>
        <v>71.5</v>
      </c>
      <c r="AI44" s="227">
        <f t="shared" si="3"/>
        <v>66.3</v>
      </c>
      <c r="AK44" s="228"/>
    </row>
    <row r="45" spans="1:88" x14ac:dyDescent="0.25">
      <c r="A45" s="234" t="s">
        <v>53</v>
      </c>
      <c r="B45" s="245">
        <v>64.3</v>
      </c>
      <c r="C45" s="245">
        <v>64.3</v>
      </c>
      <c r="D45" s="245">
        <v>64.3</v>
      </c>
      <c r="E45" s="245">
        <v>64.3</v>
      </c>
      <c r="F45" s="245">
        <v>64.3</v>
      </c>
      <c r="G45" s="245">
        <v>64.3</v>
      </c>
      <c r="H45" s="245">
        <v>64.3</v>
      </c>
      <c r="I45" s="245">
        <v>64.3</v>
      </c>
      <c r="J45" s="245">
        <v>64.3</v>
      </c>
      <c r="K45" s="245">
        <v>64.3</v>
      </c>
      <c r="L45" s="245">
        <v>64.3</v>
      </c>
      <c r="M45" s="245">
        <v>64.3</v>
      </c>
      <c r="N45" s="245">
        <v>64.3</v>
      </c>
      <c r="O45" s="245">
        <v>64.3</v>
      </c>
      <c r="P45" s="245">
        <v>64.3</v>
      </c>
      <c r="Q45" s="245">
        <v>64.3</v>
      </c>
      <c r="R45" s="245">
        <v>64.3</v>
      </c>
      <c r="S45" s="245">
        <v>64.3</v>
      </c>
      <c r="T45" s="245">
        <v>64.3</v>
      </c>
      <c r="U45" s="245">
        <v>65.099999999999994</v>
      </c>
      <c r="V45" s="245">
        <v>65.099999999999994</v>
      </c>
      <c r="W45" s="245">
        <v>65.099999999999994</v>
      </c>
      <c r="X45" s="245">
        <v>65.099999999999994</v>
      </c>
      <c r="Y45" s="245">
        <v>65.099999999999994</v>
      </c>
      <c r="Z45" s="245">
        <v>65.099999999999994</v>
      </c>
      <c r="AA45" s="245">
        <v>65.099999999999994</v>
      </c>
      <c r="AB45" s="245">
        <v>65.099999999999994</v>
      </c>
      <c r="AC45" s="245">
        <v>64.3</v>
      </c>
      <c r="AD45" s="245">
        <v>62.4</v>
      </c>
      <c r="AE45" s="245">
        <v>61.9</v>
      </c>
      <c r="AF45" s="245">
        <v>62.6</v>
      </c>
      <c r="AG45" s="235">
        <v>69</v>
      </c>
      <c r="AH45" s="226">
        <f t="shared" si="2"/>
        <v>65.099999999999994</v>
      </c>
      <c r="AI45" s="227">
        <f t="shared" si="3"/>
        <v>61.9</v>
      </c>
      <c r="AK45" s="228"/>
    </row>
    <row r="46" spans="1:88" x14ac:dyDescent="0.25">
      <c r="A46" s="234" t="s">
        <v>54</v>
      </c>
      <c r="B46" s="237">
        <v>60.9</v>
      </c>
      <c r="C46" s="237">
        <v>60.9</v>
      </c>
      <c r="D46" s="237">
        <v>60.9</v>
      </c>
      <c r="E46" s="237">
        <v>60.9</v>
      </c>
      <c r="F46" s="237">
        <v>60.9</v>
      </c>
      <c r="G46" s="237">
        <v>60.9</v>
      </c>
      <c r="H46" s="237">
        <v>60.9</v>
      </c>
      <c r="I46" s="237">
        <v>60.9</v>
      </c>
      <c r="J46" s="237">
        <v>60.9</v>
      </c>
      <c r="K46" s="237">
        <v>60.9</v>
      </c>
      <c r="L46" s="237">
        <v>60.9</v>
      </c>
      <c r="M46" s="237">
        <v>60.9</v>
      </c>
      <c r="N46" s="237">
        <v>60.9</v>
      </c>
      <c r="O46" s="237">
        <v>60.9</v>
      </c>
      <c r="P46" s="237">
        <v>60.9</v>
      </c>
      <c r="Q46" s="237">
        <v>60.9</v>
      </c>
      <c r="R46" s="237">
        <v>60.9</v>
      </c>
      <c r="S46" s="237">
        <v>60</v>
      </c>
      <c r="T46" s="237">
        <v>60</v>
      </c>
      <c r="U46" s="221">
        <v>60.9</v>
      </c>
      <c r="V46" s="221">
        <v>60</v>
      </c>
      <c r="W46" s="221">
        <v>60</v>
      </c>
      <c r="X46" s="221">
        <v>60</v>
      </c>
      <c r="Y46" s="221">
        <v>60</v>
      </c>
      <c r="Z46" s="221">
        <v>60</v>
      </c>
      <c r="AA46" s="245">
        <v>60</v>
      </c>
      <c r="AB46" s="245">
        <v>60</v>
      </c>
      <c r="AC46" s="245">
        <v>60</v>
      </c>
      <c r="AD46" s="237">
        <v>60.9</v>
      </c>
      <c r="AE46" s="237">
        <v>61.2</v>
      </c>
      <c r="AF46" s="237">
        <v>61.2</v>
      </c>
      <c r="AG46" s="235">
        <v>60</v>
      </c>
      <c r="AH46" s="226">
        <f t="shared" si="2"/>
        <v>61.2</v>
      </c>
      <c r="AI46" s="227">
        <f t="shared" si="3"/>
        <v>60</v>
      </c>
      <c r="AK46" s="228"/>
    </row>
    <row r="47" spans="1:88" x14ac:dyDescent="0.25">
      <c r="A47" s="234" t="s">
        <v>55</v>
      </c>
      <c r="B47" s="237">
        <v>28.5</v>
      </c>
      <c r="C47" s="237">
        <v>28.5</v>
      </c>
      <c r="D47" s="237">
        <v>28.5</v>
      </c>
      <c r="E47" s="237">
        <v>28.5</v>
      </c>
      <c r="F47" s="237">
        <v>28.5</v>
      </c>
      <c r="G47" s="237">
        <v>28.5</v>
      </c>
      <c r="H47" s="237">
        <v>28.5</v>
      </c>
      <c r="I47" s="237">
        <v>28.5</v>
      </c>
      <c r="J47" s="237">
        <v>28.5</v>
      </c>
      <c r="K47" s="237">
        <v>28.5</v>
      </c>
      <c r="L47" s="237">
        <v>28.5</v>
      </c>
      <c r="M47" s="245">
        <v>28.5</v>
      </c>
      <c r="N47" s="245">
        <v>28.5</v>
      </c>
      <c r="O47" s="245">
        <v>28.5</v>
      </c>
      <c r="P47" s="245">
        <v>28.5</v>
      </c>
      <c r="Q47" s="245">
        <v>28.5</v>
      </c>
      <c r="R47" s="245">
        <v>28.5</v>
      </c>
      <c r="S47" s="245">
        <v>28.5</v>
      </c>
      <c r="T47" s="245">
        <v>28.5</v>
      </c>
      <c r="U47" s="221">
        <v>28.5</v>
      </c>
      <c r="V47" s="221">
        <v>28.5</v>
      </c>
      <c r="W47" s="221">
        <v>28.5</v>
      </c>
      <c r="X47" s="221">
        <v>28.5</v>
      </c>
      <c r="Y47" s="221">
        <v>28.5</v>
      </c>
      <c r="Z47" s="221">
        <v>28.5</v>
      </c>
      <c r="AA47" s="245">
        <v>28.5</v>
      </c>
      <c r="AB47" s="245">
        <v>28.5</v>
      </c>
      <c r="AC47" s="245">
        <v>28.5</v>
      </c>
      <c r="AD47" s="237">
        <v>28.4</v>
      </c>
      <c r="AE47" s="237">
        <v>28.3</v>
      </c>
      <c r="AF47" s="237">
        <v>28.4</v>
      </c>
      <c r="AG47" s="235">
        <v>30</v>
      </c>
      <c r="AH47" s="226">
        <f t="shared" si="2"/>
        <v>28.5</v>
      </c>
      <c r="AI47" s="227">
        <f t="shared" si="3"/>
        <v>28.3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10</v>
      </c>
      <c r="N48" s="245">
        <v>10</v>
      </c>
      <c r="O48" s="245">
        <v>10</v>
      </c>
      <c r="P48" s="245">
        <v>10</v>
      </c>
      <c r="Q48" s="245">
        <v>10</v>
      </c>
      <c r="R48" s="245">
        <v>10</v>
      </c>
      <c r="S48" s="245">
        <v>10</v>
      </c>
      <c r="T48" s="245">
        <v>10</v>
      </c>
      <c r="U48" s="221">
        <v>10</v>
      </c>
      <c r="V48" s="221">
        <v>10</v>
      </c>
      <c r="W48" s="221">
        <v>10</v>
      </c>
      <c r="X48" s="221">
        <v>10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16.5</v>
      </c>
      <c r="C49" s="245">
        <v>16.5</v>
      </c>
      <c r="D49" s="245">
        <v>16.5</v>
      </c>
      <c r="E49" s="245">
        <v>16.5</v>
      </c>
      <c r="F49" s="245">
        <v>16.5</v>
      </c>
      <c r="G49" s="245">
        <v>16.5</v>
      </c>
      <c r="H49" s="245">
        <v>16.5</v>
      </c>
      <c r="I49" s="245">
        <v>17</v>
      </c>
      <c r="J49" s="245">
        <v>17</v>
      </c>
      <c r="K49" s="245">
        <v>17</v>
      </c>
      <c r="L49" s="245">
        <v>17</v>
      </c>
      <c r="M49" s="245">
        <v>17</v>
      </c>
      <c r="N49" s="245">
        <v>17</v>
      </c>
      <c r="O49" s="245">
        <v>17</v>
      </c>
      <c r="P49" s="245">
        <v>17</v>
      </c>
      <c r="Q49" s="245">
        <v>17</v>
      </c>
      <c r="R49" s="245">
        <v>17</v>
      </c>
      <c r="S49" s="245">
        <v>16.399999999999999</v>
      </c>
      <c r="T49" s="245">
        <v>16.399999999999999</v>
      </c>
      <c r="U49" s="245">
        <v>16.399999999999999</v>
      </c>
      <c r="V49" s="245">
        <v>17</v>
      </c>
      <c r="W49" s="245">
        <v>17</v>
      </c>
      <c r="X49" s="245">
        <v>17</v>
      </c>
      <c r="Y49" s="245">
        <v>17</v>
      </c>
      <c r="Z49" s="245">
        <v>17</v>
      </c>
      <c r="AA49" s="221">
        <v>17</v>
      </c>
      <c r="AB49" s="221">
        <v>17</v>
      </c>
      <c r="AC49" s="221">
        <v>17</v>
      </c>
      <c r="AD49" s="245">
        <v>16.899999999999999</v>
      </c>
      <c r="AE49" s="245">
        <v>17</v>
      </c>
      <c r="AF49" s="245">
        <v>16.899999999999999</v>
      </c>
      <c r="AG49" s="235">
        <v>24</v>
      </c>
      <c r="AH49" s="226">
        <f t="shared" si="2"/>
        <v>17</v>
      </c>
      <c r="AI49" s="227">
        <f t="shared" si="3"/>
        <v>16.399999999999999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45">
        <v>3</v>
      </c>
      <c r="U50" s="245">
        <v>3</v>
      </c>
      <c r="V50" s="245">
        <v>3</v>
      </c>
      <c r="W50" s="245">
        <v>3</v>
      </c>
      <c r="X50" s="245">
        <v>3</v>
      </c>
      <c r="Y50" s="245">
        <v>3</v>
      </c>
      <c r="Z50" s="245">
        <v>3</v>
      </c>
      <c r="AA50" s="221">
        <v>3</v>
      </c>
      <c r="AB50" s="221">
        <v>3</v>
      </c>
      <c r="AC50" s="221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13.2</v>
      </c>
      <c r="C51" s="245">
        <v>13.2</v>
      </c>
      <c r="D51" s="245">
        <v>13.2</v>
      </c>
      <c r="E51" s="245">
        <v>13.2</v>
      </c>
      <c r="F51" s="245">
        <v>13.2</v>
      </c>
      <c r="G51" s="245">
        <v>13.2</v>
      </c>
      <c r="H51" s="245">
        <v>13.2</v>
      </c>
      <c r="I51" s="245">
        <v>13.2</v>
      </c>
      <c r="J51" s="245">
        <v>13.2</v>
      </c>
      <c r="K51" s="245">
        <v>13.2</v>
      </c>
      <c r="L51" s="245">
        <v>13.2</v>
      </c>
      <c r="M51" s="245">
        <v>13.2</v>
      </c>
      <c r="N51" s="245">
        <v>13.2</v>
      </c>
      <c r="O51" s="245">
        <v>13.2</v>
      </c>
      <c r="P51" s="245">
        <v>13.2</v>
      </c>
      <c r="Q51" s="245">
        <v>13.2</v>
      </c>
      <c r="R51" s="245">
        <v>13.2</v>
      </c>
      <c r="S51" s="245">
        <v>12.2</v>
      </c>
      <c r="T51" s="245">
        <v>12.2</v>
      </c>
      <c r="U51" s="245">
        <v>12.2</v>
      </c>
      <c r="V51" s="245">
        <v>12.2</v>
      </c>
      <c r="W51" s="245">
        <v>12.2</v>
      </c>
      <c r="X51" s="245">
        <v>12.2</v>
      </c>
      <c r="Y51" s="245">
        <v>12.2</v>
      </c>
      <c r="Z51" s="245">
        <v>12.2</v>
      </c>
      <c r="AA51" s="221">
        <v>12.2</v>
      </c>
      <c r="AB51" s="221">
        <v>12.2</v>
      </c>
      <c r="AC51" s="221">
        <v>12.2</v>
      </c>
      <c r="AD51" s="245">
        <v>13</v>
      </c>
      <c r="AE51" s="245">
        <v>13</v>
      </c>
      <c r="AF51" s="245">
        <v>13.4</v>
      </c>
      <c r="AG51" s="235">
        <v>14.1</v>
      </c>
      <c r="AH51" s="226">
        <f t="shared" si="2"/>
        <v>13.4</v>
      </c>
      <c r="AI51" s="227">
        <f t="shared" si="3"/>
        <v>12.2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45">
        <v>14</v>
      </c>
      <c r="N52" s="245">
        <v>14</v>
      </c>
      <c r="O52" s="245">
        <v>14</v>
      </c>
      <c r="P52" s="245">
        <v>14</v>
      </c>
      <c r="Q52" s="245">
        <v>14</v>
      </c>
      <c r="R52" s="245">
        <v>14</v>
      </c>
      <c r="S52" s="245">
        <v>14</v>
      </c>
      <c r="T52" s="245">
        <v>14</v>
      </c>
      <c r="U52" s="245">
        <v>14</v>
      </c>
      <c r="V52" s="245">
        <v>14</v>
      </c>
      <c r="W52" s="245">
        <v>14</v>
      </c>
      <c r="X52" s="245">
        <v>14</v>
      </c>
      <c r="Y52" s="245">
        <v>14</v>
      </c>
      <c r="Z52" s="245">
        <v>14</v>
      </c>
      <c r="AA52" s="221">
        <v>14</v>
      </c>
      <c r="AB52" s="221">
        <v>2.8</v>
      </c>
      <c r="AC52" s="221">
        <v>5.2</v>
      </c>
      <c r="AD52" s="245">
        <v>5.3</v>
      </c>
      <c r="AE52" s="245">
        <v>5</v>
      </c>
      <c r="AF52" s="245">
        <v>7</v>
      </c>
      <c r="AG52" s="235">
        <v>14</v>
      </c>
      <c r="AH52" s="226">
        <f t="shared" si="2"/>
        <v>14</v>
      </c>
      <c r="AI52" s="227">
        <f t="shared" si="3"/>
        <v>2.8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45">
        <v>10</v>
      </c>
      <c r="S53" s="245">
        <v>10</v>
      </c>
      <c r="T53" s="245">
        <v>10</v>
      </c>
      <c r="U53" s="245">
        <v>10</v>
      </c>
      <c r="V53" s="245">
        <v>10</v>
      </c>
      <c r="W53" s="245">
        <v>10</v>
      </c>
      <c r="X53" s="245">
        <v>10</v>
      </c>
      <c r="Y53" s="245">
        <v>10</v>
      </c>
      <c r="Z53" s="245">
        <v>10</v>
      </c>
      <c r="AA53" s="221">
        <v>10</v>
      </c>
      <c r="AB53" s="221">
        <v>10</v>
      </c>
      <c r="AC53" s="221">
        <v>10</v>
      </c>
      <c r="AD53" s="245">
        <v>10</v>
      </c>
      <c r="AE53" s="245">
        <v>10</v>
      </c>
      <c r="AF53" s="245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45">
        <v>6.2</v>
      </c>
      <c r="V54" s="245">
        <v>6.2</v>
      </c>
      <c r="W54" s="245">
        <v>6.2</v>
      </c>
      <c r="X54" s="245">
        <v>6.2</v>
      </c>
      <c r="Y54" s="245">
        <v>6.2</v>
      </c>
      <c r="Z54" s="245">
        <v>6.2</v>
      </c>
      <c r="AA54" s="221">
        <v>6.2</v>
      </c>
      <c r="AB54" s="221">
        <v>6.2</v>
      </c>
      <c r="AC54" s="221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J55" s="351">
        <f>AF7-AF39-AF40-AF17-AF47--AF54-AF61-AF37-AF11</f>
        <v>1007.84</v>
      </c>
      <c r="AK55" s="228"/>
    </row>
    <row r="56" spans="1:41" ht="15.75" thickBot="1" x14ac:dyDescent="0.3">
      <c r="A56" s="254" t="s">
        <v>64</v>
      </c>
      <c r="B56" s="241">
        <f>SUM(B43:B55)</f>
        <v>434.44</v>
      </c>
      <c r="C56" s="241">
        <f t="shared" ref="C56:AG56" si="7">SUM(C43:C55)</f>
        <v>434.44</v>
      </c>
      <c r="D56" s="241">
        <f t="shared" si="7"/>
        <v>434.44</v>
      </c>
      <c r="E56" s="241">
        <f t="shared" si="7"/>
        <v>434.44</v>
      </c>
      <c r="F56" s="241">
        <f t="shared" si="7"/>
        <v>434.44</v>
      </c>
      <c r="G56" s="241">
        <f t="shared" si="7"/>
        <v>434.44</v>
      </c>
      <c r="H56" s="241">
        <f t="shared" si="7"/>
        <v>434.44</v>
      </c>
      <c r="I56" s="241">
        <f t="shared" si="7"/>
        <v>434.94</v>
      </c>
      <c r="J56" s="241">
        <f t="shared" si="7"/>
        <v>434.94</v>
      </c>
      <c r="K56" s="241">
        <f t="shared" si="7"/>
        <v>434.94</v>
      </c>
      <c r="L56" s="241">
        <f t="shared" si="7"/>
        <v>434.94</v>
      </c>
      <c r="M56" s="241">
        <f t="shared" si="7"/>
        <v>444.94</v>
      </c>
      <c r="N56" s="241">
        <f t="shared" si="7"/>
        <v>444.94</v>
      </c>
      <c r="O56" s="241">
        <f t="shared" si="7"/>
        <v>444.94</v>
      </c>
      <c r="P56" s="241">
        <f t="shared" si="7"/>
        <v>444.94</v>
      </c>
      <c r="Q56" s="241">
        <f t="shared" si="7"/>
        <v>444.94</v>
      </c>
      <c r="R56" s="241">
        <f t="shared" si="7"/>
        <v>444.94</v>
      </c>
      <c r="S56" s="241">
        <f t="shared" si="7"/>
        <v>441.44</v>
      </c>
      <c r="T56" s="241">
        <f t="shared" si="7"/>
        <v>298.14000000000004</v>
      </c>
      <c r="U56" s="241">
        <f t="shared" si="7"/>
        <v>446.43999999999994</v>
      </c>
      <c r="V56" s="241">
        <f t="shared" si="7"/>
        <v>443.54</v>
      </c>
      <c r="W56" s="241">
        <f t="shared" si="7"/>
        <v>443.54</v>
      </c>
      <c r="X56" s="241">
        <f t="shared" si="7"/>
        <v>443.54</v>
      </c>
      <c r="Y56" s="241">
        <f t="shared" si="7"/>
        <v>433.54</v>
      </c>
      <c r="Z56" s="241">
        <f t="shared" si="7"/>
        <v>433.54</v>
      </c>
      <c r="AA56" s="241">
        <f t="shared" si="7"/>
        <v>433.54</v>
      </c>
      <c r="AB56" s="241">
        <f t="shared" si="7"/>
        <v>419.34000000000003</v>
      </c>
      <c r="AC56" s="241">
        <f t="shared" si="7"/>
        <v>420.23999999999995</v>
      </c>
      <c r="AD56" s="241">
        <f t="shared" si="7"/>
        <v>420.33999999999992</v>
      </c>
      <c r="AE56" s="241">
        <f t="shared" si="7"/>
        <v>419.24</v>
      </c>
      <c r="AF56" s="241">
        <f t="shared" si="7"/>
        <v>424.73999999999995</v>
      </c>
      <c r="AG56" s="242">
        <f t="shared" si="7"/>
        <v>489.91</v>
      </c>
      <c r="AH56" s="226">
        <f t="shared" si="2"/>
        <v>446.43999999999994</v>
      </c>
      <c r="AI56" s="227">
        <f t="shared" si="3"/>
        <v>298.14000000000004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21</v>
      </c>
      <c r="L57" s="221">
        <v>44</v>
      </c>
      <c r="M57" s="221">
        <v>0</v>
      </c>
      <c r="N57" s="221">
        <v>0</v>
      </c>
      <c r="O57" s="221">
        <v>14</v>
      </c>
      <c r="P57" s="221">
        <v>14</v>
      </c>
      <c r="Q57" s="221">
        <v>30</v>
      </c>
      <c r="R57" s="221">
        <v>14</v>
      </c>
      <c r="S57" s="221">
        <v>12</v>
      </c>
      <c r="T57" s="221">
        <v>30</v>
      </c>
      <c r="U57" s="221">
        <v>0</v>
      </c>
      <c r="V57" s="221">
        <v>0</v>
      </c>
      <c r="W57" s="221">
        <v>0</v>
      </c>
      <c r="X57" s="221">
        <v>10.8</v>
      </c>
      <c r="Y57" s="221">
        <v>34.1</v>
      </c>
      <c r="Z57" s="221">
        <v>34.1</v>
      </c>
      <c r="AA57" s="221">
        <v>24.1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44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9</v>
      </c>
      <c r="L58" s="245">
        <v>22</v>
      </c>
      <c r="M58" s="245">
        <v>0</v>
      </c>
      <c r="N58" s="245">
        <v>0</v>
      </c>
      <c r="O58" s="245">
        <v>7</v>
      </c>
      <c r="P58" s="245">
        <v>7</v>
      </c>
      <c r="Q58" s="245">
        <v>10</v>
      </c>
      <c r="R58" s="245">
        <v>6</v>
      </c>
      <c r="S58" s="245">
        <v>5.4</v>
      </c>
      <c r="T58" s="245">
        <v>15.3</v>
      </c>
      <c r="U58" s="245">
        <v>0</v>
      </c>
      <c r="V58" s="245">
        <v>0</v>
      </c>
      <c r="W58" s="245">
        <v>0</v>
      </c>
      <c r="X58" s="245">
        <v>4.3</v>
      </c>
      <c r="Y58" s="245">
        <v>14.3</v>
      </c>
      <c r="Z58" s="245">
        <v>14.3</v>
      </c>
      <c r="AA58" s="245">
        <v>14.4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22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3</v>
      </c>
      <c r="I59" s="247">
        <v>0</v>
      </c>
      <c r="J59" s="247">
        <v>0</v>
      </c>
      <c r="K59" s="247">
        <v>4</v>
      </c>
      <c r="L59" s="247">
        <v>8</v>
      </c>
      <c r="M59" s="247">
        <v>0</v>
      </c>
      <c r="N59" s="247">
        <v>0</v>
      </c>
      <c r="O59" s="247">
        <v>3</v>
      </c>
      <c r="P59" s="247">
        <v>3</v>
      </c>
      <c r="Q59" s="247">
        <v>7</v>
      </c>
      <c r="R59" s="247">
        <v>2.2000000000000002</v>
      </c>
      <c r="S59" s="247">
        <v>2</v>
      </c>
      <c r="T59" s="247">
        <v>5.6</v>
      </c>
      <c r="U59" s="247">
        <v>0</v>
      </c>
      <c r="V59" s="247">
        <v>0</v>
      </c>
      <c r="W59" s="247">
        <v>0</v>
      </c>
      <c r="X59" s="247">
        <v>1.6</v>
      </c>
      <c r="Y59" s="247">
        <v>5.2</v>
      </c>
      <c r="Z59" s="247">
        <v>5.2</v>
      </c>
      <c r="AA59" s="247">
        <v>5.3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8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8">SUM(C57:C59)</f>
        <v>0</v>
      </c>
      <c r="D60" s="241">
        <f t="shared" si="8"/>
        <v>0</v>
      </c>
      <c r="E60" s="241">
        <f t="shared" si="8"/>
        <v>0</v>
      </c>
      <c r="F60" s="241">
        <f t="shared" si="8"/>
        <v>0</v>
      </c>
      <c r="G60" s="241">
        <f t="shared" si="8"/>
        <v>0</v>
      </c>
      <c r="H60" s="241">
        <f t="shared" si="8"/>
        <v>3</v>
      </c>
      <c r="I60" s="241">
        <f t="shared" si="8"/>
        <v>0</v>
      </c>
      <c r="J60" s="241">
        <f t="shared" si="8"/>
        <v>0</v>
      </c>
      <c r="K60" s="241">
        <f t="shared" si="8"/>
        <v>34</v>
      </c>
      <c r="L60" s="241">
        <f t="shared" si="8"/>
        <v>74</v>
      </c>
      <c r="M60" s="241">
        <f t="shared" si="8"/>
        <v>0</v>
      </c>
      <c r="N60" s="241">
        <f t="shared" si="8"/>
        <v>0</v>
      </c>
      <c r="O60" s="241">
        <f t="shared" si="8"/>
        <v>24</v>
      </c>
      <c r="P60" s="241">
        <f t="shared" si="8"/>
        <v>24</v>
      </c>
      <c r="Q60" s="241">
        <f t="shared" si="8"/>
        <v>47</v>
      </c>
      <c r="R60" s="241">
        <f t="shared" si="8"/>
        <v>22.2</v>
      </c>
      <c r="S60" s="241">
        <f t="shared" si="8"/>
        <v>19.399999999999999</v>
      </c>
      <c r="T60" s="241">
        <f t="shared" si="8"/>
        <v>50.9</v>
      </c>
      <c r="U60" s="241">
        <f t="shared" si="8"/>
        <v>0</v>
      </c>
      <c r="V60" s="241">
        <f t="shared" si="8"/>
        <v>0</v>
      </c>
      <c r="W60" s="241">
        <f t="shared" si="8"/>
        <v>0</v>
      </c>
      <c r="X60" s="241">
        <f t="shared" si="8"/>
        <v>16.700000000000003</v>
      </c>
      <c r="Y60" s="241">
        <f t="shared" si="8"/>
        <v>53.600000000000009</v>
      </c>
      <c r="Z60" s="241">
        <f t="shared" si="8"/>
        <v>53.600000000000009</v>
      </c>
      <c r="AA60" s="241">
        <f t="shared" si="8"/>
        <v>43.8</v>
      </c>
      <c r="AB60" s="241">
        <f t="shared" si="8"/>
        <v>0</v>
      </c>
      <c r="AC60" s="241">
        <f t="shared" si="8"/>
        <v>0</v>
      </c>
      <c r="AD60" s="241">
        <f t="shared" si="8"/>
        <v>0</v>
      </c>
      <c r="AE60" s="241">
        <f t="shared" si="8"/>
        <v>0</v>
      </c>
      <c r="AF60" s="241">
        <f t="shared" si="8"/>
        <v>0</v>
      </c>
      <c r="AG60" s="242">
        <f t="shared" si="8"/>
        <v>106</v>
      </c>
      <c r="AH60" s="226">
        <f t="shared" si="2"/>
        <v>74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40</v>
      </c>
      <c r="C61" s="221">
        <v>40</v>
      </c>
      <c r="D61" s="221">
        <v>38</v>
      </c>
      <c r="E61" s="221">
        <v>37</v>
      </c>
      <c r="F61" s="221">
        <v>36</v>
      </c>
      <c r="G61" s="221">
        <v>33</v>
      </c>
      <c r="H61" s="221">
        <v>26</v>
      </c>
      <c r="I61" s="221">
        <v>17</v>
      </c>
      <c r="J61" s="221">
        <v>15</v>
      </c>
      <c r="K61" s="221">
        <v>40</v>
      </c>
      <c r="L61" s="221">
        <v>47</v>
      </c>
      <c r="M61" s="221">
        <v>42.9</v>
      </c>
      <c r="N61" s="221">
        <v>49</v>
      </c>
      <c r="O61" s="221">
        <v>56.2</v>
      </c>
      <c r="P61" s="221">
        <v>63.1</v>
      </c>
      <c r="Q61" s="221">
        <v>60</v>
      </c>
      <c r="R61" s="221">
        <v>54.5</v>
      </c>
      <c r="S61" s="221">
        <v>60.2</v>
      </c>
      <c r="T61" s="221">
        <v>59.23</v>
      </c>
      <c r="U61" s="221">
        <v>74.42</v>
      </c>
      <c r="V61" s="221">
        <v>55.3</v>
      </c>
      <c r="W61" s="221">
        <v>46.3</v>
      </c>
      <c r="X61" s="221">
        <v>45</v>
      </c>
      <c r="Y61" s="221">
        <v>31.5</v>
      </c>
      <c r="Z61" s="221">
        <v>33.4</v>
      </c>
      <c r="AA61" s="221">
        <v>63.1</v>
      </c>
      <c r="AB61" s="221">
        <v>66.099999999999994</v>
      </c>
      <c r="AC61" s="221">
        <v>72.2</v>
      </c>
      <c r="AD61" s="221">
        <v>41.1</v>
      </c>
      <c r="AE61" s="221">
        <v>36.6</v>
      </c>
      <c r="AF61" s="221">
        <v>35.200000000000003</v>
      </c>
      <c r="AG61" s="230"/>
      <c r="AH61" s="226">
        <f t="shared" si="2"/>
        <v>74.42</v>
      </c>
      <c r="AI61" s="227">
        <f t="shared" si="3"/>
        <v>15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-280</v>
      </c>
      <c r="C63" s="245">
        <v>-305</v>
      </c>
      <c r="D63" s="245">
        <v>-315</v>
      </c>
      <c r="E63" s="245">
        <v>-330</v>
      </c>
      <c r="F63" s="245">
        <v>-348</v>
      </c>
      <c r="G63" s="245">
        <v>-330</v>
      </c>
      <c r="H63" s="245">
        <v>-365</v>
      </c>
      <c r="I63" s="245">
        <v>-376</v>
      </c>
      <c r="J63" s="245">
        <v>-360</v>
      </c>
      <c r="K63" s="245">
        <v>-345</v>
      </c>
      <c r="L63" s="245">
        <v>-350</v>
      </c>
      <c r="M63" s="245">
        <v>-249</v>
      </c>
      <c r="N63" s="245">
        <v>-221</v>
      </c>
      <c r="O63" s="245">
        <v>-212.4</v>
      </c>
      <c r="P63" s="245">
        <v>-177</v>
      </c>
      <c r="Q63" s="245">
        <v>-190</v>
      </c>
      <c r="R63" s="245">
        <v>-246</v>
      </c>
      <c r="S63" s="245">
        <v>-215</v>
      </c>
      <c r="T63" s="245">
        <v>-267</v>
      </c>
      <c r="U63" s="245">
        <v>-301.8</v>
      </c>
      <c r="V63" s="245">
        <v>-318</v>
      </c>
      <c r="W63" s="245">
        <v>-240</v>
      </c>
      <c r="X63" s="245">
        <v>-324</v>
      </c>
      <c r="Y63" s="245">
        <v>-279</v>
      </c>
      <c r="Z63" s="245">
        <v>-244</v>
      </c>
      <c r="AA63" s="245">
        <v>-246</v>
      </c>
      <c r="AB63" s="245">
        <v>-215.5</v>
      </c>
      <c r="AC63" s="245">
        <v>-279</v>
      </c>
      <c r="AD63" s="245">
        <v>-265</v>
      </c>
      <c r="AE63" s="245">
        <v>-320</v>
      </c>
      <c r="AF63" s="245">
        <v>-336</v>
      </c>
      <c r="AG63" s="255"/>
      <c r="AH63" s="226">
        <f t="shared" si="2"/>
        <v>-177</v>
      </c>
      <c r="AI63" s="227">
        <f t="shared" si="3"/>
        <v>-376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5</v>
      </c>
      <c r="G66" s="257">
        <v>5</v>
      </c>
      <c r="H66" s="257">
        <v>5</v>
      </c>
      <c r="I66" s="257">
        <v>5</v>
      </c>
      <c r="J66" s="257">
        <v>5</v>
      </c>
      <c r="K66" s="257">
        <v>5</v>
      </c>
      <c r="L66" s="257">
        <v>5</v>
      </c>
      <c r="M66" s="257">
        <v>5</v>
      </c>
      <c r="N66" s="257">
        <v>5</v>
      </c>
      <c r="O66" s="257">
        <v>5</v>
      </c>
      <c r="P66" s="257">
        <v>5</v>
      </c>
      <c r="Q66" s="257">
        <v>5</v>
      </c>
      <c r="R66" s="257">
        <v>5</v>
      </c>
      <c r="S66" s="257">
        <v>5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45</v>
      </c>
      <c r="C72" s="241">
        <f t="shared" ref="C72:L72" si="9">SUMIF(C61:C71,"&gt;0")</f>
        <v>45</v>
      </c>
      <c r="D72" s="241">
        <f t="shared" si="9"/>
        <v>43</v>
      </c>
      <c r="E72" s="241">
        <f t="shared" si="9"/>
        <v>42</v>
      </c>
      <c r="F72" s="241">
        <f t="shared" si="9"/>
        <v>41</v>
      </c>
      <c r="G72" s="241">
        <f t="shared" si="9"/>
        <v>38</v>
      </c>
      <c r="H72" s="241">
        <f t="shared" si="9"/>
        <v>31</v>
      </c>
      <c r="I72" s="241">
        <f t="shared" si="9"/>
        <v>22</v>
      </c>
      <c r="J72" s="241">
        <f t="shared" si="9"/>
        <v>20</v>
      </c>
      <c r="K72" s="241">
        <f t="shared" si="9"/>
        <v>45</v>
      </c>
      <c r="L72" s="241">
        <f t="shared" si="9"/>
        <v>52</v>
      </c>
      <c r="M72" s="241">
        <f>SUMIF(M61:M71,"&gt;0")</f>
        <v>47.9</v>
      </c>
      <c r="N72" s="241">
        <f t="shared" ref="N72:AF72" si="10">SUMIF(N61:N71,"&gt;0")</f>
        <v>54</v>
      </c>
      <c r="O72" s="241">
        <f t="shared" si="10"/>
        <v>61.2</v>
      </c>
      <c r="P72" s="241">
        <f t="shared" si="10"/>
        <v>68.099999999999994</v>
      </c>
      <c r="Q72" s="241">
        <f t="shared" si="10"/>
        <v>65</v>
      </c>
      <c r="R72" s="241">
        <f t="shared" si="10"/>
        <v>59.5</v>
      </c>
      <c r="S72" s="241">
        <f t="shared" si="10"/>
        <v>65.2</v>
      </c>
      <c r="T72" s="241">
        <f t="shared" si="10"/>
        <v>64.22999999999999</v>
      </c>
      <c r="U72" s="241">
        <f t="shared" si="10"/>
        <v>79.42</v>
      </c>
      <c r="V72" s="241">
        <f t="shared" si="10"/>
        <v>60.3</v>
      </c>
      <c r="W72" s="241">
        <f t="shared" si="10"/>
        <v>51.3</v>
      </c>
      <c r="X72" s="241">
        <f t="shared" si="10"/>
        <v>50</v>
      </c>
      <c r="Y72" s="241">
        <f t="shared" si="10"/>
        <v>31.5</v>
      </c>
      <c r="Z72" s="241">
        <f t="shared" si="10"/>
        <v>33.4</v>
      </c>
      <c r="AA72" s="241">
        <f t="shared" si="10"/>
        <v>63.1</v>
      </c>
      <c r="AB72" s="241">
        <f t="shared" si="10"/>
        <v>66.099999999999994</v>
      </c>
      <c r="AC72" s="241">
        <f t="shared" si="10"/>
        <v>72.2</v>
      </c>
      <c r="AD72" s="241">
        <f t="shared" si="10"/>
        <v>41.1</v>
      </c>
      <c r="AE72" s="241">
        <f t="shared" si="10"/>
        <v>36.6</v>
      </c>
      <c r="AF72" s="241">
        <f t="shared" si="10"/>
        <v>35.200000000000003</v>
      </c>
      <c r="AG72" s="261">
        <f>SUM(AG61:AG71)</f>
        <v>0</v>
      </c>
      <c r="AH72" s="226">
        <f t="shared" si="2"/>
        <v>79.42</v>
      </c>
      <c r="AI72" s="227">
        <f t="shared" si="3"/>
        <v>20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1838.6399999999999</v>
      </c>
      <c r="C77" s="263">
        <f t="shared" ref="C77:AF77" si="11">C38+C42+C60+C56+C72+C76</f>
        <v>1828.6399999999999</v>
      </c>
      <c r="D77" s="263">
        <f t="shared" si="11"/>
        <v>1813.6399999999999</v>
      </c>
      <c r="E77" s="263">
        <f t="shared" si="11"/>
        <v>1815.04</v>
      </c>
      <c r="F77" s="263">
        <f t="shared" si="11"/>
        <v>1814.04</v>
      </c>
      <c r="G77" s="263">
        <f t="shared" si="11"/>
        <v>1814.04</v>
      </c>
      <c r="H77" s="263">
        <f t="shared" si="11"/>
        <v>1817.04</v>
      </c>
      <c r="I77" s="263">
        <f t="shared" si="11"/>
        <v>1805.54</v>
      </c>
      <c r="J77" s="263">
        <f t="shared" si="11"/>
        <v>1816.94</v>
      </c>
      <c r="K77" s="263">
        <f t="shared" si="11"/>
        <v>1875.94</v>
      </c>
      <c r="L77" s="263">
        <f t="shared" si="11"/>
        <v>1922.94</v>
      </c>
      <c r="M77" s="263">
        <f t="shared" si="11"/>
        <v>1857.8400000000001</v>
      </c>
      <c r="N77" s="263">
        <f t="shared" si="11"/>
        <v>1863.94</v>
      </c>
      <c r="O77" s="263">
        <f t="shared" si="11"/>
        <v>1895.14</v>
      </c>
      <c r="P77" s="263">
        <f t="shared" si="11"/>
        <v>1902.04</v>
      </c>
      <c r="Q77" s="263">
        <f t="shared" si="11"/>
        <v>1921.94</v>
      </c>
      <c r="R77" s="263">
        <f t="shared" si="11"/>
        <v>1881.64</v>
      </c>
      <c r="S77" s="263">
        <f t="shared" si="11"/>
        <v>1898.8400000000001</v>
      </c>
      <c r="T77" s="263">
        <f t="shared" si="11"/>
        <v>1784.0700000000002</v>
      </c>
      <c r="U77" s="263">
        <f t="shared" si="11"/>
        <v>1867.7599999999998</v>
      </c>
      <c r="V77" s="263">
        <f t="shared" si="11"/>
        <v>1868.6399999999999</v>
      </c>
      <c r="W77" s="263">
        <f t="shared" si="11"/>
        <v>1779.0399999999997</v>
      </c>
      <c r="X77" s="263">
        <f t="shared" si="11"/>
        <v>1874.84</v>
      </c>
      <c r="Y77" s="263">
        <f t="shared" si="11"/>
        <v>1853.2399999999998</v>
      </c>
      <c r="Z77" s="263">
        <f t="shared" si="11"/>
        <v>1883.1399999999999</v>
      </c>
      <c r="AA77" s="263">
        <f t="shared" si="11"/>
        <v>1904.0399999999997</v>
      </c>
      <c r="AB77" s="263">
        <f t="shared" si="11"/>
        <v>1849.04</v>
      </c>
      <c r="AC77" s="263">
        <f t="shared" si="11"/>
        <v>1848.04</v>
      </c>
      <c r="AD77" s="263">
        <f t="shared" si="11"/>
        <v>1822.1399999999996</v>
      </c>
      <c r="AE77" s="263">
        <f t="shared" si="11"/>
        <v>1827.1399999999999</v>
      </c>
      <c r="AF77" s="263">
        <f t="shared" si="11"/>
        <v>1807.14</v>
      </c>
      <c r="AG77" s="242">
        <f>AG38+AG42+AG60+AG56+AG72+AG76</f>
        <v>1855.1900000000003</v>
      </c>
      <c r="AH77" s="226">
        <f t="shared" si="2"/>
        <v>1922.94</v>
      </c>
      <c r="AI77" s="227">
        <f t="shared" si="3"/>
        <v>1779.0399999999997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1838.6399999999999</v>
      </c>
      <c r="C79" s="263">
        <f t="shared" ref="C79:AF79" si="12">C77+C78</f>
        <v>1828.6399999999999</v>
      </c>
      <c r="D79" s="263">
        <f t="shared" si="12"/>
        <v>1813.6399999999999</v>
      </c>
      <c r="E79" s="263">
        <f t="shared" si="12"/>
        <v>1815.04</v>
      </c>
      <c r="F79" s="263">
        <f t="shared" si="12"/>
        <v>1814.04</v>
      </c>
      <c r="G79" s="263">
        <f t="shared" si="12"/>
        <v>1814.04</v>
      </c>
      <c r="H79" s="263">
        <f t="shared" si="12"/>
        <v>1817.04</v>
      </c>
      <c r="I79" s="263">
        <f t="shared" si="12"/>
        <v>1805.54</v>
      </c>
      <c r="J79" s="263">
        <f t="shared" si="12"/>
        <v>1816.94</v>
      </c>
      <c r="K79" s="263">
        <f t="shared" si="12"/>
        <v>1875.94</v>
      </c>
      <c r="L79" s="263">
        <f t="shared" si="12"/>
        <v>1922.94</v>
      </c>
      <c r="M79" s="263">
        <f t="shared" si="12"/>
        <v>1857.8400000000001</v>
      </c>
      <c r="N79" s="263">
        <f t="shared" si="12"/>
        <v>1863.94</v>
      </c>
      <c r="O79" s="263">
        <f t="shared" si="12"/>
        <v>1895.14</v>
      </c>
      <c r="P79" s="263">
        <f t="shared" si="12"/>
        <v>1902.04</v>
      </c>
      <c r="Q79" s="263">
        <f t="shared" si="12"/>
        <v>1921.94</v>
      </c>
      <c r="R79" s="263">
        <f t="shared" si="12"/>
        <v>1881.64</v>
      </c>
      <c r="S79" s="263">
        <f t="shared" si="12"/>
        <v>1898.8400000000001</v>
      </c>
      <c r="T79" s="263">
        <f t="shared" si="12"/>
        <v>1784.0700000000002</v>
      </c>
      <c r="U79" s="263">
        <f t="shared" si="12"/>
        <v>1867.7599999999998</v>
      </c>
      <c r="V79" s="263">
        <f t="shared" si="12"/>
        <v>1868.6399999999999</v>
      </c>
      <c r="W79" s="263">
        <f t="shared" si="12"/>
        <v>1779.0399999999997</v>
      </c>
      <c r="X79" s="263">
        <f t="shared" si="12"/>
        <v>1874.84</v>
      </c>
      <c r="Y79" s="263">
        <f t="shared" si="12"/>
        <v>1853.2399999999998</v>
      </c>
      <c r="Z79" s="263">
        <f t="shared" si="12"/>
        <v>1883.1399999999999</v>
      </c>
      <c r="AA79" s="263">
        <f t="shared" si="12"/>
        <v>1904.0399999999997</v>
      </c>
      <c r="AB79" s="263">
        <f t="shared" si="12"/>
        <v>1849.04</v>
      </c>
      <c r="AC79" s="263">
        <f t="shared" si="12"/>
        <v>1848.04</v>
      </c>
      <c r="AD79" s="263">
        <f t="shared" si="12"/>
        <v>1822.1399999999996</v>
      </c>
      <c r="AE79" s="263">
        <f t="shared" si="12"/>
        <v>1827.1399999999999</v>
      </c>
      <c r="AF79" s="263">
        <f t="shared" si="12"/>
        <v>1807.14</v>
      </c>
      <c r="AG79" s="261">
        <f>AG76+AG72+AG60+AG56+AG38+AG78</f>
        <v>1317.0900000000001</v>
      </c>
      <c r="AH79" s="226">
        <f t="shared" si="2"/>
        <v>1922.94</v>
      </c>
      <c r="AI79" s="227">
        <f t="shared" si="3"/>
        <v>1779.0399999999997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3">B79-B87</f>
        <v>1558.6399999999999</v>
      </c>
      <c r="C80" s="263">
        <f t="shared" si="13"/>
        <v>1523.6399999999999</v>
      </c>
      <c r="D80" s="263">
        <f t="shared" si="13"/>
        <v>1498.6399999999999</v>
      </c>
      <c r="E80" s="263">
        <f t="shared" si="13"/>
        <v>1485.04</v>
      </c>
      <c r="F80" s="263">
        <f t="shared" si="13"/>
        <v>1466.04</v>
      </c>
      <c r="G80" s="263">
        <f t="shared" si="13"/>
        <v>1484.04</v>
      </c>
      <c r="H80" s="263">
        <f t="shared" si="13"/>
        <v>1452.04</v>
      </c>
      <c r="I80" s="263">
        <f t="shared" si="13"/>
        <v>1429.54</v>
      </c>
      <c r="J80" s="263">
        <f t="shared" si="13"/>
        <v>1456.94</v>
      </c>
      <c r="K80" s="263">
        <f t="shared" si="13"/>
        <v>1530.94</v>
      </c>
      <c r="L80" s="263">
        <f t="shared" si="13"/>
        <v>1572.94</v>
      </c>
      <c r="M80" s="263">
        <f t="shared" si="13"/>
        <v>1608.8400000000001</v>
      </c>
      <c r="N80" s="263">
        <f t="shared" si="13"/>
        <v>1642.94</v>
      </c>
      <c r="O80" s="263">
        <f t="shared" si="13"/>
        <v>1682.74</v>
      </c>
      <c r="P80" s="263">
        <f t="shared" si="13"/>
        <v>1725.04</v>
      </c>
      <c r="Q80" s="263">
        <f t="shared" si="13"/>
        <v>1731.94</v>
      </c>
      <c r="R80" s="263">
        <f t="shared" si="13"/>
        <v>1635.64</v>
      </c>
      <c r="S80" s="263">
        <f t="shared" si="13"/>
        <v>1683.8400000000001</v>
      </c>
      <c r="T80" s="263">
        <f t="shared" si="13"/>
        <v>1517.0700000000002</v>
      </c>
      <c r="U80" s="263">
        <f t="shared" si="13"/>
        <v>1565.9599999999998</v>
      </c>
      <c r="V80" s="263">
        <f t="shared" si="13"/>
        <v>1550.6399999999999</v>
      </c>
      <c r="W80" s="263">
        <f t="shared" si="13"/>
        <v>1539.0399999999997</v>
      </c>
      <c r="X80" s="263">
        <f t="shared" si="13"/>
        <v>1550.84</v>
      </c>
      <c r="Y80" s="263">
        <f t="shared" si="13"/>
        <v>1574.2399999999998</v>
      </c>
      <c r="Z80" s="263">
        <f t="shared" si="13"/>
        <v>1639.1399999999999</v>
      </c>
      <c r="AA80" s="263">
        <f t="shared" si="13"/>
        <v>1658.0399999999997</v>
      </c>
      <c r="AB80" s="263">
        <f t="shared" si="13"/>
        <v>1633.54</v>
      </c>
      <c r="AC80" s="263">
        <f t="shared" si="13"/>
        <v>1569.04</v>
      </c>
      <c r="AD80" s="263">
        <f t="shared" si="13"/>
        <v>1557.1399999999996</v>
      </c>
      <c r="AE80" s="263">
        <f t="shared" si="13"/>
        <v>1507.1399999999999</v>
      </c>
      <c r="AF80" s="263">
        <f t="shared" si="13"/>
        <v>1471.14</v>
      </c>
      <c r="AG80" s="261"/>
      <c r="AH80" s="226">
        <f t="shared" ref="AH80:AH97" si="14">MAX(B80:AF80)</f>
        <v>1731.94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5">IF(C64&lt;0,C64*-1,0)</f>
        <v>0</v>
      </c>
      <c r="D81" s="256">
        <f t="shared" si="15"/>
        <v>0</v>
      </c>
      <c r="E81" s="256">
        <f t="shared" si="15"/>
        <v>0</v>
      </c>
      <c r="F81" s="256">
        <f t="shared" si="15"/>
        <v>0</v>
      </c>
      <c r="G81" s="256">
        <f t="shared" si="15"/>
        <v>0</v>
      </c>
      <c r="H81" s="256">
        <f t="shared" si="15"/>
        <v>0</v>
      </c>
      <c r="I81" s="256">
        <f t="shared" si="15"/>
        <v>0</v>
      </c>
      <c r="J81" s="256">
        <f t="shared" si="15"/>
        <v>0</v>
      </c>
      <c r="K81" s="256">
        <f t="shared" si="15"/>
        <v>0</v>
      </c>
      <c r="L81" s="256">
        <f t="shared" si="15"/>
        <v>0</v>
      </c>
      <c r="M81" s="256">
        <f t="shared" si="15"/>
        <v>0</v>
      </c>
      <c r="N81" s="256">
        <f t="shared" si="15"/>
        <v>0</v>
      </c>
      <c r="O81" s="256">
        <f t="shared" si="15"/>
        <v>0</v>
      </c>
      <c r="P81" s="256">
        <f t="shared" si="15"/>
        <v>0</v>
      </c>
      <c r="Q81" s="256">
        <f t="shared" si="15"/>
        <v>0</v>
      </c>
      <c r="R81" s="256">
        <f t="shared" si="15"/>
        <v>0</v>
      </c>
      <c r="S81" s="256">
        <f t="shared" si="15"/>
        <v>0</v>
      </c>
      <c r="T81" s="256">
        <f t="shared" si="15"/>
        <v>0</v>
      </c>
      <c r="U81" s="256">
        <f t="shared" si="15"/>
        <v>0</v>
      </c>
      <c r="V81" s="256">
        <f t="shared" si="15"/>
        <v>0</v>
      </c>
      <c r="W81" s="256">
        <f t="shared" si="15"/>
        <v>0</v>
      </c>
      <c r="X81" s="256">
        <f t="shared" si="15"/>
        <v>0</v>
      </c>
      <c r="Y81" s="256">
        <f t="shared" si="15"/>
        <v>0</v>
      </c>
      <c r="Z81" s="256">
        <f t="shared" si="15"/>
        <v>0</v>
      </c>
      <c r="AA81" s="256">
        <f t="shared" si="15"/>
        <v>0</v>
      </c>
      <c r="AB81" s="256">
        <f t="shared" si="15"/>
        <v>0</v>
      </c>
      <c r="AC81" s="256">
        <f t="shared" si="15"/>
        <v>0</v>
      </c>
      <c r="AD81" s="256">
        <f t="shared" si="15"/>
        <v>0</v>
      </c>
      <c r="AE81" s="256">
        <f t="shared" si="15"/>
        <v>0</v>
      </c>
      <c r="AF81" s="256">
        <f t="shared" si="15"/>
        <v>0</v>
      </c>
      <c r="AG81" s="230"/>
      <c r="AH81" s="226">
        <f t="shared" si="14"/>
        <v>0</v>
      </c>
      <c r="AI81" s="227">
        <f t="shared" ref="AI81:AI97" si="1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7">IF(C62&lt;0,C62*-1,0)</f>
        <v>0</v>
      </c>
      <c r="D82" s="256">
        <f t="shared" si="17"/>
        <v>0</v>
      </c>
      <c r="E82" s="256">
        <f t="shared" si="17"/>
        <v>0</v>
      </c>
      <c r="F82" s="256">
        <f t="shared" si="17"/>
        <v>0</v>
      </c>
      <c r="G82" s="256">
        <f t="shared" si="17"/>
        <v>0</v>
      </c>
      <c r="H82" s="256">
        <f t="shared" si="17"/>
        <v>0</v>
      </c>
      <c r="I82" s="256">
        <f t="shared" si="17"/>
        <v>0</v>
      </c>
      <c r="J82" s="256">
        <f t="shared" si="17"/>
        <v>0</v>
      </c>
      <c r="K82" s="256">
        <f t="shared" si="17"/>
        <v>0</v>
      </c>
      <c r="L82" s="256">
        <f t="shared" si="17"/>
        <v>0</v>
      </c>
      <c r="M82" s="256">
        <f t="shared" si="17"/>
        <v>0</v>
      </c>
      <c r="N82" s="256">
        <f t="shared" si="17"/>
        <v>0</v>
      </c>
      <c r="O82" s="256">
        <f t="shared" si="17"/>
        <v>0</v>
      </c>
      <c r="P82" s="256">
        <f t="shared" si="17"/>
        <v>0</v>
      </c>
      <c r="Q82" s="256">
        <f t="shared" si="17"/>
        <v>0</v>
      </c>
      <c r="R82" s="256">
        <f t="shared" si="17"/>
        <v>0</v>
      </c>
      <c r="S82" s="256">
        <f t="shared" si="17"/>
        <v>0</v>
      </c>
      <c r="T82" s="256">
        <f t="shared" si="17"/>
        <v>0</v>
      </c>
      <c r="U82" s="256">
        <f t="shared" si="17"/>
        <v>0</v>
      </c>
      <c r="V82" s="256">
        <f t="shared" si="17"/>
        <v>0</v>
      </c>
      <c r="W82" s="256">
        <f t="shared" si="17"/>
        <v>0</v>
      </c>
      <c r="X82" s="256">
        <f t="shared" si="17"/>
        <v>0</v>
      </c>
      <c r="Y82" s="256">
        <f t="shared" si="17"/>
        <v>0</v>
      </c>
      <c r="Z82" s="256">
        <f t="shared" si="17"/>
        <v>0</v>
      </c>
      <c r="AA82" s="256">
        <f t="shared" si="17"/>
        <v>0</v>
      </c>
      <c r="AB82" s="256">
        <f t="shared" si="17"/>
        <v>0</v>
      </c>
      <c r="AC82" s="256">
        <f t="shared" si="17"/>
        <v>0</v>
      </c>
      <c r="AD82" s="256">
        <f t="shared" si="17"/>
        <v>0</v>
      </c>
      <c r="AE82" s="256">
        <f t="shared" si="17"/>
        <v>0</v>
      </c>
      <c r="AF82" s="256">
        <f t="shared" si="17"/>
        <v>0</v>
      </c>
      <c r="AG82" s="235"/>
      <c r="AH82" s="226">
        <f t="shared" si="14"/>
        <v>0</v>
      </c>
      <c r="AI82" s="227">
        <f t="shared" si="1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8">IF(C65&lt;0,C65*-1,0)</f>
        <v>0</v>
      </c>
      <c r="D83" s="256">
        <f t="shared" si="18"/>
        <v>0</v>
      </c>
      <c r="E83" s="256">
        <f t="shared" si="18"/>
        <v>0</v>
      </c>
      <c r="F83" s="256">
        <f t="shared" si="18"/>
        <v>0</v>
      </c>
      <c r="G83" s="256">
        <f t="shared" si="18"/>
        <v>0</v>
      </c>
      <c r="H83" s="256">
        <f t="shared" si="18"/>
        <v>0</v>
      </c>
      <c r="I83" s="256">
        <f t="shared" si="18"/>
        <v>0</v>
      </c>
      <c r="J83" s="256">
        <f t="shared" si="18"/>
        <v>0</v>
      </c>
      <c r="K83" s="256">
        <f t="shared" si="18"/>
        <v>0</v>
      </c>
      <c r="L83" s="256">
        <f t="shared" si="18"/>
        <v>0</v>
      </c>
      <c r="M83" s="256">
        <f t="shared" si="18"/>
        <v>0</v>
      </c>
      <c r="N83" s="256">
        <f t="shared" si="18"/>
        <v>0</v>
      </c>
      <c r="O83" s="256">
        <f t="shared" si="18"/>
        <v>0</v>
      </c>
      <c r="P83" s="256">
        <f t="shared" si="18"/>
        <v>0</v>
      </c>
      <c r="Q83" s="256">
        <f t="shared" si="18"/>
        <v>0</v>
      </c>
      <c r="R83" s="256">
        <f t="shared" si="18"/>
        <v>0</v>
      </c>
      <c r="S83" s="256">
        <f t="shared" si="18"/>
        <v>0</v>
      </c>
      <c r="T83" s="256">
        <f t="shared" si="18"/>
        <v>0</v>
      </c>
      <c r="U83" s="256">
        <f t="shared" si="18"/>
        <v>0</v>
      </c>
      <c r="V83" s="256">
        <f t="shared" si="18"/>
        <v>0</v>
      </c>
      <c r="W83" s="256">
        <f t="shared" si="18"/>
        <v>0</v>
      </c>
      <c r="X83" s="256">
        <f t="shared" si="18"/>
        <v>0</v>
      </c>
      <c r="Y83" s="256">
        <f t="shared" si="18"/>
        <v>0</v>
      </c>
      <c r="Z83" s="256">
        <f t="shared" si="18"/>
        <v>0</v>
      </c>
      <c r="AA83" s="256">
        <f t="shared" si="18"/>
        <v>0</v>
      </c>
      <c r="AB83" s="256">
        <f t="shared" si="18"/>
        <v>0</v>
      </c>
      <c r="AC83" s="256">
        <f t="shared" si="18"/>
        <v>0</v>
      </c>
      <c r="AD83" s="256">
        <f t="shared" si="18"/>
        <v>0</v>
      </c>
      <c r="AE83" s="256">
        <f t="shared" si="18"/>
        <v>0</v>
      </c>
      <c r="AF83" s="256">
        <f t="shared" si="18"/>
        <v>0</v>
      </c>
      <c r="AG83" s="266"/>
      <c r="AH83" s="226">
        <f t="shared" si="14"/>
        <v>0</v>
      </c>
      <c r="AI83" s="227">
        <f t="shared" si="1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280</v>
      </c>
      <c r="C84" s="256">
        <f t="shared" ref="C84:AF84" si="19">IF(C63&lt;0,C63*-1,0)</f>
        <v>305</v>
      </c>
      <c r="D84" s="256">
        <f t="shared" si="19"/>
        <v>315</v>
      </c>
      <c r="E84" s="256">
        <f t="shared" si="19"/>
        <v>330</v>
      </c>
      <c r="F84" s="256">
        <f t="shared" si="19"/>
        <v>348</v>
      </c>
      <c r="G84" s="256">
        <f t="shared" si="19"/>
        <v>330</v>
      </c>
      <c r="H84" s="256">
        <f t="shared" si="19"/>
        <v>365</v>
      </c>
      <c r="I84" s="256">
        <f t="shared" si="19"/>
        <v>376</v>
      </c>
      <c r="J84" s="256">
        <f t="shared" si="19"/>
        <v>360</v>
      </c>
      <c r="K84" s="256">
        <f t="shared" si="19"/>
        <v>345</v>
      </c>
      <c r="L84" s="256">
        <f t="shared" si="19"/>
        <v>350</v>
      </c>
      <c r="M84" s="256">
        <f t="shared" si="19"/>
        <v>249</v>
      </c>
      <c r="N84" s="256">
        <f t="shared" si="19"/>
        <v>221</v>
      </c>
      <c r="O84" s="256">
        <f t="shared" si="19"/>
        <v>212.4</v>
      </c>
      <c r="P84" s="256">
        <f t="shared" si="19"/>
        <v>177</v>
      </c>
      <c r="Q84" s="256">
        <f t="shared" si="19"/>
        <v>190</v>
      </c>
      <c r="R84" s="256">
        <f t="shared" si="19"/>
        <v>246</v>
      </c>
      <c r="S84" s="256">
        <f t="shared" si="19"/>
        <v>215</v>
      </c>
      <c r="T84" s="256">
        <f t="shared" si="19"/>
        <v>267</v>
      </c>
      <c r="U84" s="256">
        <f t="shared" si="19"/>
        <v>301.8</v>
      </c>
      <c r="V84" s="256">
        <f t="shared" si="19"/>
        <v>318</v>
      </c>
      <c r="W84" s="256">
        <f t="shared" si="19"/>
        <v>240</v>
      </c>
      <c r="X84" s="256">
        <f t="shared" si="19"/>
        <v>324</v>
      </c>
      <c r="Y84" s="256">
        <f t="shared" si="19"/>
        <v>279</v>
      </c>
      <c r="Z84" s="256">
        <f t="shared" si="19"/>
        <v>244</v>
      </c>
      <c r="AA84" s="256">
        <f t="shared" si="19"/>
        <v>246</v>
      </c>
      <c r="AB84" s="256">
        <f t="shared" si="19"/>
        <v>215.5</v>
      </c>
      <c r="AC84" s="256">
        <f t="shared" si="19"/>
        <v>279</v>
      </c>
      <c r="AD84" s="256">
        <f t="shared" si="19"/>
        <v>265</v>
      </c>
      <c r="AE84" s="256">
        <f t="shared" si="19"/>
        <v>320</v>
      </c>
      <c r="AF84" s="256">
        <f t="shared" si="19"/>
        <v>336</v>
      </c>
      <c r="AG84" s="266"/>
      <c r="AH84" s="226">
        <f t="shared" si="14"/>
        <v>376</v>
      </c>
      <c r="AI84" s="227">
        <f t="shared" si="16"/>
        <v>177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0">IF(C61&lt;0,C61*-1,0)</f>
        <v>0</v>
      </c>
      <c r="D85" s="256">
        <f t="shared" si="20"/>
        <v>0</v>
      </c>
      <c r="E85" s="256">
        <f t="shared" si="20"/>
        <v>0</v>
      </c>
      <c r="F85" s="256">
        <f t="shared" si="20"/>
        <v>0</v>
      </c>
      <c r="G85" s="256">
        <f t="shared" si="20"/>
        <v>0</v>
      </c>
      <c r="H85" s="256">
        <f t="shared" si="20"/>
        <v>0</v>
      </c>
      <c r="I85" s="256">
        <f t="shared" si="20"/>
        <v>0</v>
      </c>
      <c r="J85" s="256">
        <f t="shared" si="20"/>
        <v>0</v>
      </c>
      <c r="K85" s="256">
        <f t="shared" si="20"/>
        <v>0</v>
      </c>
      <c r="L85" s="256">
        <f t="shared" si="20"/>
        <v>0</v>
      </c>
      <c r="M85" s="256">
        <f t="shared" si="20"/>
        <v>0</v>
      </c>
      <c r="N85" s="256">
        <f t="shared" si="20"/>
        <v>0</v>
      </c>
      <c r="O85" s="256">
        <f t="shared" si="20"/>
        <v>0</v>
      </c>
      <c r="P85" s="256">
        <f t="shared" si="20"/>
        <v>0</v>
      </c>
      <c r="Q85" s="256">
        <f t="shared" si="20"/>
        <v>0</v>
      </c>
      <c r="R85" s="256">
        <f t="shared" si="20"/>
        <v>0</v>
      </c>
      <c r="S85" s="256">
        <f t="shared" si="20"/>
        <v>0</v>
      </c>
      <c r="T85" s="256">
        <f t="shared" si="20"/>
        <v>0</v>
      </c>
      <c r="U85" s="256">
        <f t="shared" si="20"/>
        <v>0</v>
      </c>
      <c r="V85" s="256">
        <f t="shared" si="20"/>
        <v>0</v>
      </c>
      <c r="W85" s="256">
        <f t="shared" si="20"/>
        <v>0</v>
      </c>
      <c r="X85" s="256">
        <f t="shared" si="20"/>
        <v>0</v>
      </c>
      <c r="Y85" s="256">
        <f t="shared" si="20"/>
        <v>0</v>
      </c>
      <c r="Z85" s="256">
        <f t="shared" si="20"/>
        <v>0</v>
      </c>
      <c r="AA85" s="256">
        <f t="shared" si="20"/>
        <v>0</v>
      </c>
      <c r="AB85" s="256">
        <f t="shared" si="20"/>
        <v>0</v>
      </c>
      <c r="AC85" s="256">
        <f t="shared" si="20"/>
        <v>0</v>
      </c>
      <c r="AD85" s="256">
        <f t="shared" si="20"/>
        <v>0</v>
      </c>
      <c r="AE85" s="256">
        <f t="shared" si="20"/>
        <v>0</v>
      </c>
      <c r="AF85" s="256">
        <f t="shared" si="20"/>
        <v>0</v>
      </c>
      <c r="AG85" s="266"/>
      <c r="AH85" s="226">
        <f t="shared" si="14"/>
        <v>0</v>
      </c>
      <c r="AI85" s="227">
        <f t="shared" si="1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4"/>
        <v>0</v>
      </c>
      <c r="AI86" s="227">
        <f t="shared" si="1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280</v>
      </c>
      <c r="C87" s="241">
        <f t="shared" ref="C87:AF87" si="21">SUM(C81:C86)</f>
        <v>305</v>
      </c>
      <c r="D87" s="241">
        <f t="shared" si="21"/>
        <v>315</v>
      </c>
      <c r="E87" s="241">
        <f t="shared" si="21"/>
        <v>330</v>
      </c>
      <c r="F87" s="241">
        <f t="shared" si="21"/>
        <v>348</v>
      </c>
      <c r="G87" s="241">
        <f t="shared" si="21"/>
        <v>330</v>
      </c>
      <c r="H87" s="241">
        <f t="shared" si="21"/>
        <v>365</v>
      </c>
      <c r="I87" s="241">
        <f t="shared" si="21"/>
        <v>376</v>
      </c>
      <c r="J87" s="241">
        <f t="shared" si="21"/>
        <v>360</v>
      </c>
      <c r="K87" s="241">
        <f t="shared" si="21"/>
        <v>345</v>
      </c>
      <c r="L87" s="241">
        <f t="shared" si="21"/>
        <v>350</v>
      </c>
      <c r="M87" s="241">
        <f t="shared" si="21"/>
        <v>249</v>
      </c>
      <c r="N87" s="241">
        <f t="shared" si="21"/>
        <v>221</v>
      </c>
      <c r="O87" s="241">
        <f t="shared" si="21"/>
        <v>212.4</v>
      </c>
      <c r="P87" s="241">
        <f t="shared" si="21"/>
        <v>177</v>
      </c>
      <c r="Q87" s="241">
        <f t="shared" si="21"/>
        <v>190</v>
      </c>
      <c r="R87" s="241">
        <f t="shared" si="21"/>
        <v>246</v>
      </c>
      <c r="S87" s="241">
        <f t="shared" si="21"/>
        <v>215</v>
      </c>
      <c r="T87" s="241">
        <f t="shared" si="21"/>
        <v>267</v>
      </c>
      <c r="U87" s="241">
        <f t="shared" si="21"/>
        <v>301.8</v>
      </c>
      <c r="V87" s="241">
        <f t="shared" si="21"/>
        <v>318</v>
      </c>
      <c r="W87" s="241">
        <f t="shared" si="21"/>
        <v>240</v>
      </c>
      <c r="X87" s="241">
        <f t="shared" si="21"/>
        <v>324</v>
      </c>
      <c r="Y87" s="241">
        <f t="shared" si="21"/>
        <v>279</v>
      </c>
      <c r="Z87" s="241">
        <f t="shared" si="21"/>
        <v>244</v>
      </c>
      <c r="AA87" s="241">
        <f t="shared" si="21"/>
        <v>246</v>
      </c>
      <c r="AB87" s="241">
        <f t="shared" si="21"/>
        <v>215.5</v>
      </c>
      <c r="AC87" s="241">
        <f t="shared" si="21"/>
        <v>279</v>
      </c>
      <c r="AD87" s="241">
        <f t="shared" si="21"/>
        <v>265</v>
      </c>
      <c r="AE87" s="241">
        <f t="shared" si="21"/>
        <v>320</v>
      </c>
      <c r="AF87" s="241">
        <f t="shared" si="21"/>
        <v>336</v>
      </c>
      <c r="AG87" s="261"/>
      <c r="AH87" s="226">
        <f t="shared" si="14"/>
        <v>376</v>
      </c>
      <c r="AI87" s="227">
        <f t="shared" si="16"/>
        <v>177</v>
      </c>
      <c r="AK87" s="228"/>
    </row>
    <row r="88" spans="1:88" s="175" customFormat="1" ht="15.75" thickBot="1" x14ac:dyDescent="0.3">
      <c r="A88" s="254" t="s">
        <v>93</v>
      </c>
      <c r="B88" s="241">
        <f>B72-B87</f>
        <v>-235</v>
      </c>
      <c r="C88" s="241">
        <f t="shared" ref="C88:AF88" si="22">C72-C87</f>
        <v>-260</v>
      </c>
      <c r="D88" s="241">
        <f t="shared" si="22"/>
        <v>-272</v>
      </c>
      <c r="E88" s="241">
        <f t="shared" si="22"/>
        <v>-288</v>
      </c>
      <c r="F88" s="241">
        <f t="shared" si="22"/>
        <v>-307</v>
      </c>
      <c r="G88" s="241">
        <f t="shared" si="22"/>
        <v>-292</v>
      </c>
      <c r="H88" s="241">
        <f t="shared" si="22"/>
        <v>-334</v>
      </c>
      <c r="I88" s="241">
        <f t="shared" si="22"/>
        <v>-354</v>
      </c>
      <c r="J88" s="241">
        <f t="shared" si="22"/>
        <v>-340</v>
      </c>
      <c r="K88" s="241">
        <f t="shared" si="22"/>
        <v>-300</v>
      </c>
      <c r="L88" s="241">
        <f t="shared" si="22"/>
        <v>-298</v>
      </c>
      <c r="M88" s="241">
        <f t="shared" si="22"/>
        <v>-201.1</v>
      </c>
      <c r="N88" s="241">
        <f t="shared" si="22"/>
        <v>-167</v>
      </c>
      <c r="O88" s="241">
        <f t="shared" si="22"/>
        <v>-151.19999999999999</v>
      </c>
      <c r="P88" s="241">
        <f t="shared" si="22"/>
        <v>-108.9</v>
      </c>
      <c r="Q88" s="241">
        <f t="shared" si="22"/>
        <v>-125</v>
      </c>
      <c r="R88" s="241">
        <f t="shared" si="22"/>
        <v>-186.5</v>
      </c>
      <c r="S88" s="241">
        <f t="shared" si="22"/>
        <v>-149.80000000000001</v>
      </c>
      <c r="T88" s="241">
        <f t="shared" si="22"/>
        <v>-202.77</v>
      </c>
      <c r="U88" s="241">
        <f t="shared" si="22"/>
        <v>-222.38</v>
      </c>
      <c r="V88" s="241">
        <f t="shared" si="22"/>
        <v>-257.7</v>
      </c>
      <c r="W88" s="241">
        <f t="shared" si="22"/>
        <v>-188.7</v>
      </c>
      <c r="X88" s="241">
        <f t="shared" si="22"/>
        <v>-274</v>
      </c>
      <c r="Y88" s="241">
        <f t="shared" si="22"/>
        <v>-247.5</v>
      </c>
      <c r="Z88" s="241">
        <f t="shared" si="22"/>
        <v>-210.6</v>
      </c>
      <c r="AA88" s="241">
        <f t="shared" si="22"/>
        <v>-182.9</v>
      </c>
      <c r="AB88" s="241">
        <f t="shared" si="22"/>
        <v>-149.4</v>
      </c>
      <c r="AC88" s="241">
        <f t="shared" si="22"/>
        <v>-206.8</v>
      </c>
      <c r="AD88" s="241">
        <f t="shared" si="22"/>
        <v>-223.9</v>
      </c>
      <c r="AE88" s="241">
        <f t="shared" si="22"/>
        <v>-283.39999999999998</v>
      </c>
      <c r="AF88" s="241">
        <f t="shared" si="22"/>
        <v>-300.8</v>
      </c>
      <c r="AG88" s="261"/>
      <c r="AH88" s="226">
        <f t="shared" si="14"/>
        <v>-108.9</v>
      </c>
      <c r="AI88" s="227">
        <f t="shared" si="16"/>
        <v>-354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50.005000000000003</v>
      </c>
      <c r="C89" s="269">
        <v>50</v>
      </c>
      <c r="D89" s="269">
        <v>50.02</v>
      </c>
      <c r="E89" s="269">
        <v>50.034999999999997</v>
      </c>
      <c r="F89" s="269">
        <v>50.034999999999997</v>
      </c>
      <c r="G89" s="269">
        <v>49.902999999999999</v>
      </c>
      <c r="H89" s="269">
        <v>49.987000000000002</v>
      </c>
      <c r="I89" s="269">
        <v>49.976999999999997</v>
      </c>
      <c r="J89" s="269">
        <v>49.896000000000001</v>
      </c>
      <c r="K89" s="269">
        <v>49.996000000000002</v>
      </c>
      <c r="L89" s="269">
        <v>49.811999999999998</v>
      </c>
      <c r="M89" s="269">
        <v>49.97</v>
      </c>
      <c r="N89" s="269">
        <v>50.01</v>
      </c>
      <c r="O89" s="269">
        <v>50.03</v>
      </c>
      <c r="P89" s="269">
        <v>50.06</v>
      </c>
      <c r="Q89" s="269">
        <v>49.9</v>
      </c>
      <c r="R89" s="269">
        <v>49.838000000000001</v>
      </c>
      <c r="S89" s="269">
        <v>50.051000000000002</v>
      </c>
      <c r="T89" s="269">
        <v>50.045000000000002</v>
      </c>
      <c r="U89" s="269">
        <v>50.042999999999999</v>
      </c>
      <c r="V89" s="269">
        <v>50.015000000000001</v>
      </c>
      <c r="W89" s="269">
        <v>50.037999999999997</v>
      </c>
      <c r="X89" s="269">
        <v>49.991</v>
      </c>
      <c r="Y89" s="269">
        <v>50.005000000000003</v>
      </c>
      <c r="Z89" s="269">
        <v>49.981999999999999</v>
      </c>
      <c r="AA89" s="269">
        <v>49.83</v>
      </c>
      <c r="AB89" s="269">
        <v>50.03</v>
      </c>
      <c r="AC89" s="269">
        <v>49.945999999999998</v>
      </c>
      <c r="AD89" s="269">
        <v>49.93</v>
      </c>
      <c r="AE89" s="269">
        <v>50</v>
      </c>
      <c r="AF89" s="269">
        <v>50</v>
      </c>
      <c r="AG89" s="270"/>
      <c r="AH89" s="226">
        <f t="shared" si="14"/>
        <v>50.06</v>
      </c>
      <c r="AI89" s="227">
        <f t="shared" si="16"/>
        <v>49.811999999999998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121</v>
      </c>
      <c r="C90" s="245">
        <v>121</v>
      </c>
      <c r="D90" s="245">
        <v>123</v>
      </c>
      <c r="E90" s="245">
        <v>123</v>
      </c>
      <c r="F90" s="245">
        <v>123</v>
      </c>
      <c r="G90" s="245">
        <v>122.4</v>
      </c>
      <c r="H90" s="245">
        <v>122.4</v>
      </c>
      <c r="I90" s="245">
        <v>122.7</v>
      </c>
      <c r="J90" s="245">
        <v>122.7</v>
      </c>
      <c r="K90" s="245">
        <v>122.7</v>
      </c>
      <c r="L90" s="245">
        <v>122.7</v>
      </c>
      <c r="M90" s="245">
        <v>120.9</v>
      </c>
      <c r="N90" s="245">
        <v>119.9</v>
      </c>
      <c r="O90" s="245">
        <v>121</v>
      </c>
      <c r="P90" s="245">
        <v>119.8</v>
      </c>
      <c r="Q90" s="245">
        <v>120</v>
      </c>
      <c r="R90" s="245">
        <v>121</v>
      </c>
      <c r="S90" s="245">
        <v>121</v>
      </c>
      <c r="T90" s="245">
        <v>123.6</v>
      </c>
      <c r="U90" s="245">
        <v>123</v>
      </c>
      <c r="V90" s="245">
        <v>122.4</v>
      </c>
      <c r="W90" s="245">
        <v>124.4</v>
      </c>
      <c r="X90" s="245">
        <v>125</v>
      </c>
      <c r="Y90" s="245">
        <v>124.6</v>
      </c>
      <c r="Z90" s="245">
        <v>125</v>
      </c>
      <c r="AA90" s="245">
        <v>124.5</v>
      </c>
      <c r="AB90" s="245">
        <v>124.6</v>
      </c>
      <c r="AC90" s="245">
        <v>124.6</v>
      </c>
      <c r="AD90" s="245">
        <v>124.3</v>
      </c>
      <c r="AE90" s="245">
        <v>123.6</v>
      </c>
      <c r="AF90" s="245">
        <v>123.2</v>
      </c>
      <c r="AG90" s="272"/>
      <c r="AH90" s="226">
        <f t="shared" si="14"/>
        <v>125</v>
      </c>
      <c r="AI90" s="227">
        <f t="shared" si="16"/>
        <v>119.8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126</v>
      </c>
      <c r="C91" s="245">
        <v>126</v>
      </c>
      <c r="D91" s="245">
        <v>127</v>
      </c>
      <c r="E91" s="245">
        <v>128</v>
      </c>
      <c r="F91" s="245">
        <v>128</v>
      </c>
      <c r="G91" s="245">
        <v>127.2</v>
      </c>
      <c r="H91" s="245">
        <v>127.2</v>
      </c>
      <c r="I91" s="245">
        <v>126</v>
      </c>
      <c r="J91" s="245">
        <v>126</v>
      </c>
      <c r="K91" s="245">
        <v>126</v>
      </c>
      <c r="L91" s="245">
        <v>126</v>
      </c>
      <c r="M91" s="245">
        <v>124.2</v>
      </c>
      <c r="N91" s="245">
        <v>123.9</v>
      </c>
      <c r="O91" s="245">
        <v>124.1</v>
      </c>
      <c r="P91" s="245">
        <v>123.4</v>
      </c>
      <c r="Q91" s="245">
        <v>123.4</v>
      </c>
      <c r="R91" s="245">
        <v>123.4</v>
      </c>
      <c r="S91" s="245">
        <v>124.5</v>
      </c>
      <c r="T91" s="245">
        <v>126.7</v>
      </c>
      <c r="U91" s="245">
        <v>126.8</v>
      </c>
      <c r="V91" s="245">
        <v>126.7</v>
      </c>
      <c r="W91" s="245">
        <v>127.6</v>
      </c>
      <c r="X91" s="245">
        <v>128</v>
      </c>
      <c r="Y91" s="245">
        <v>127.6</v>
      </c>
      <c r="Z91" s="245">
        <v>128</v>
      </c>
      <c r="AA91" s="245">
        <v>127.7</v>
      </c>
      <c r="AB91" s="245">
        <v>128.1</v>
      </c>
      <c r="AC91" s="245">
        <v>128.1</v>
      </c>
      <c r="AD91" s="245">
        <v>128.4</v>
      </c>
      <c r="AE91" s="245">
        <v>127.8</v>
      </c>
      <c r="AF91" s="245">
        <v>128</v>
      </c>
      <c r="AG91" s="272"/>
      <c r="AH91" s="226">
        <f t="shared" si="14"/>
        <v>128.4</v>
      </c>
      <c r="AI91" s="227">
        <f t="shared" si="16"/>
        <v>123.4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</v>
      </c>
      <c r="C92" s="245">
        <v>128</v>
      </c>
      <c r="D92" s="245">
        <v>128</v>
      </c>
      <c r="E92" s="245">
        <v>129</v>
      </c>
      <c r="F92" s="245">
        <v>129</v>
      </c>
      <c r="G92" s="245">
        <v>1287</v>
      </c>
      <c r="H92" s="245">
        <v>1287</v>
      </c>
      <c r="I92" s="245">
        <v>131</v>
      </c>
      <c r="J92" s="245">
        <v>131</v>
      </c>
      <c r="K92" s="245">
        <v>131</v>
      </c>
      <c r="L92" s="245">
        <v>131</v>
      </c>
      <c r="M92" s="245">
        <v>131</v>
      </c>
      <c r="N92" s="245">
        <v>130.1</v>
      </c>
      <c r="O92" s="245">
        <v>128</v>
      </c>
      <c r="P92" s="245">
        <v>128</v>
      </c>
      <c r="Q92" s="245">
        <v>128</v>
      </c>
      <c r="R92" s="245">
        <v>128</v>
      </c>
      <c r="S92" s="245">
        <v>130.1</v>
      </c>
      <c r="T92" s="245">
        <v>129.5</v>
      </c>
      <c r="U92" s="245">
        <v>128.30000000000001</v>
      </c>
      <c r="V92" s="245">
        <v>130</v>
      </c>
      <c r="W92" s="245"/>
      <c r="X92" s="245">
        <v>130.5</v>
      </c>
      <c r="Y92" s="245">
        <v>129.19999999999999</v>
      </c>
      <c r="Z92" s="245">
        <v>129</v>
      </c>
      <c r="AA92" s="245">
        <v>127.6</v>
      </c>
      <c r="AB92" s="245">
        <v>129.1</v>
      </c>
      <c r="AC92" s="245">
        <v>129.1</v>
      </c>
      <c r="AD92" s="245">
        <v>129</v>
      </c>
      <c r="AE92" s="245">
        <v>128</v>
      </c>
      <c r="AF92" s="245">
        <v>129.1</v>
      </c>
      <c r="AG92" s="272"/>
      <c r="AH92" s="226">
        <f t="shared" si="14"/>
        <v>1287</v>
      </c>
      <c r="AI92" s="227">
        <f t="shared" si="16"/>
        <v>127.6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132</v>
      </c>
      <c r="C93" s="245">
        <v>132</v>
      </c>
      <c r="D93" s="245">
        <v>131</v>
      </c>
      <c r="E93" s="245">
        <v>132</v>
      </c>
      <c r="F93" s="245">
        <v>132</v>
      </c>
      <c r="G93" s="245">
        <v>132</v>
      </c>
      <c r="H93" s="245">
        <v>132</v>
      </c>
      <c r="I93" s="245">
        <v>134</v>
      </c>
      <c r="J93" s="245">
        <v>134</v>
      </c>
      <c r="K93" s="245">
        <v>134</v>
      </c>
      <c r="L93" s="245">
        <v>134</v>
      </c>
      <c r="M93" s="245">
        <v>134</v>
      </c>
      <c r="N93" s="245">
        <v>131.1</v>
      </c>
      <c r="O93" s="245">
        <v>129</v>
      </c>
      <c r="P93" s="245">
        <v>131</v>
      </c>
      <c r="Q93" s="245">
        <v>131</v>
      </c>
      <c r="R93" s="245">
        <v>131</v>
      </c>
      <c r="S93" s="245">
        <v>134</v>
      </c>
      <c r="T93" s="245">
        <v>133.30000000000001</v>
      </c>
      <c r="U93" s="245">
        <v>132.5</v>
      </c>
      <c r="V93" s="245">
        <v>134</v>
      </c>
      <c r="W93" s="245"/>
      <c r="X93" s="245">
        <v>134.4</v>
      </c>
      <c r="Y93" s="245">
        <v>133.5</v>
      </c>
      <c r="Z93" s="245">
        <v>133</v>
      </c>
      <c r="AA93" s="245">
        <v>132.19999999999999</v>
      </c>
      <c r="AB93" s="245">
        <v>133.80000000000001</v>
      </c>
      <c r="AC93" s="245">
        <v>133.80000000000001</v>
      </c>
      <c r="AD93" s="245">
        <v>133.4</v>
      </c>
      <c r="AE93" s="245">
        <v>133.30000000000001</v>
      </c>
      <c r="AF93" s="245">
        <v>134.4</v>
      </c>
      <c r="AG93" s="272"/>
      <c r="AH93" s="226">
        <f t="shared" si="14"/>
        <v>134.4</v>
      </c>
      <c r="AI93" s="227">
        <f t="shared" si="16"/>
        <v>129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130</v>
      </c>
      <c r="C94" s="274">
        <v>130</v>
      </c>
      <c r="D94" s="274">
        <v>133</v>
      </c>
      <c r="E94" s="274">
        <v>133</v>
      </c>
      <c r="F94" s="274">
        <v>130</v>
      </c>
      <c r="G94" s="274">
        <v>132</v>
      </c>
      <c r="H94" s="274">
        <v>132</v>
      </c>
      <c r="I94" s="274">
        <v>132</v>
      </c>
      <c r="J94" s="274">
        <v>132</v>
      </c>
      <c r="K94" s="274">
        <v>132</v>
      </c>
      <c r="L94" s="274">
        <v>132</v>
      </c>
      <c r="M94" s="274">
        <v>133.4</v>
      </c>
      <c r="N94" s="274">
        <v>132.30000000000001</v>
      </c>
      <c r="O94" s="274">
        <v>131.69999999999999</v>
      </c>
      <c r="P94" s="274">
        <v>131.69999999999999</v>
      </c>
      <c r="Q94" s="274">
        <v>131.69999999999999</v>
      </c>
      <c r="R94" s="274">
        <v>131.69999999999999</v>
      </c>
      <c r="S94" s="274">
        <v>131.5</v>
      </c>
      <c r="T94" s="274">
        <v>130.80000000000001</v>
      </c>
      <c r="U94" s="274">
        <v>133.30000000000001</v>
      </c>
      <c r="V94" s="274">
        <v>133</v>
      </c>
      <c r="W94" s="274">
        <v>136</v>
      </c>
      <c r="X94" s="274">
        <v>134.69999999999999</v>
      </c>
      <c r="Y94" s="274">
        <v>132.69999999999999</v>
      </c>
      <c r="Z94" s="274">
        <v>132</v>
      </c>
      <c r="AA94" s="274">
        <v>133.19999999999999</v>
      </c>
      <c r="AB94" s="274">
        <v>134.1</v>
      </c>
      <c r="AC94" s="274">
        <v>134.1</v>
      </c>
      <c r="AD94" s="274">
        <v>132.1</v>
      </c>
      <c r="AE94" s="274">
        <v>132.1</v>
      </c>
      <c r="AF94" s="274">
        <v>129.9</v>
      </c>
      <c r="AG94" s="275"/>
      <c r="AH94" s="226">
        <f t="shared" si="14"/>
        <v>136</v>
      </c>
      <c r="AI94" s="227">
        <f t="shared" si="16"/>
        <v>129.9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127</v>
      </c>
      <c r="C95" s="245">
        <v>127</v>
      </c>
      <c r="D95" s="245">
        <v>125</v>
      </c>
      <c r="E95" s="245">
        <v>126</v>
      </c>
      <c r="F95" s="245">
        <v>126</v>
      </c>
      <c r="G95" s="245">
        <v>125</v>
      </c>
      <c r="H95" s="245">
        <v>125</v>
      </c>
      <c r="I95" s="245">
        <v>128</v>
      </c>
      <c r="J95" s="245">
        <v>128</v>
      </c>
      <c r="K95" s="245">
        <v>128</v>
      </c>
      <c r="L95" s="245">
        <v>128</v>
      </c>
      <c r="M95" s="245">
        <v>128.9</v>
      </c>
      <c r="N95" s="245">
        <v>123.7</v>
      </c>
      <c r="O95" s="245">
        <v>127.4</v>
      </c>
      <c r="P95" s="245">
        <v>127.4</v>
      </c>
      <c r="Q95" s="245">
        <v>127.4</v>
      </c>
      <c r="R95" s="245">
        <v>127.4</v>
      </c>
      <c r="S95" s="245">
        <v>127.4</v>
      </c>
      <c r="T95" s="245">
        <v>132.80000000000001</v>
      </c>
      <c r="U95" s="245">
        <v>128.19999999999999</v>
      </c>
      <c r="V95" s="245">
        <v>126.3</v>
      </c>
      <c r="W95" s="245">
        <v>130</v>
      </c>
      <c r="X95" s="245">
        <v>127</v>
      </c>
      <c r="Y95" s="245">
        <v>128</v>
      </c>
      <c r="Z95" s="245">
        <v>127</v>
      </c>
      <c r="AA95" s="245">
        <v>130</v>
      </c>
      <c r="AB95" s="245">
        <v>128.80000000000001</v>
      </c>
      <c r="AC95" s="245">
        <v>128.80000000000001</v>
      </c>
      <c r="AD95" s="245">
        <v>125.7</v>
      </c>
      <c r="AE95" s="245">
        <v>126.6</v>
      </c>
      <c r="AF95" s="245">
        <v>123.8</v>
      </c>
      <c r="AG95" s="272"/>
      <c r="AH95" s="226">
        <f t="shared" si="14"/>
        <v>132.80000000000001</v>
      </c>
      <c r="AI95" s="227">
        <f t="shared" si="16"/>
        <v>123.7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</v>
      </c>
      <c r="C96" s="276">
        <v>64</v>
      </c>
      <c r="D96" s="276">
        <v>64.400000000000006</v>
      </c>
      <c r="E96" s="276">
        <v>64.599999999999994</v>
      </c>
      <c r="F96" s="276">
        <v>64.599999999999994</v>
      </c>
      <c r="G96" s="276">
        <v>64.5</v>
      </c>
      <c r="H96" s="276">
        <v>64.5</v>
      </c>
      <c r="I96" s="276">
        <v>63.7</v>
      </c>
      <c r="J96" s="276">
        <v>63.7</v>
      </c>
      <c r="K96" s="276">
        <v>63.7</v>
      </c>
      <c r="L96" s="276">
        <v>63.7</v>
      </c>
      <c r="M96" s="276">
        <v>63</v>
      </c>
      <c r="N96" s="276">
        <v>62.8</v>
      </c>
      <c r="O96" s="276">
        <v>62.7</v>
      </c>
      <c r="P96" s="276">
        <v>62.4</v>
      </c>
      <c r="Q96" s="276">
        <v>62.5</v>
      </c>
      <c r="R96" s="276">
        <v>62.7</v>
      </c>
      <c r="S96" s="276">
        <v>63.2</v>
      </c>
      <c r="T96" s="276">
        <v>64</v>
      </c>
      <c r="U96" s="276">
        <v>63.9</v>
      </c>
      <c r="V96" s="276">
        <v>64</v>
      </c>
      <c r="W96" s="276">
        <v>65</v>
      </c>
      <c r="X96" s="276">
        <v>64.599999999999994</v>
      </c>
      <c r="Y96" s="276">
        <v>64.5</v>
      </c>
      <c r="Z96" s="276">
        <v>65</v>
      </c>
      <c r="AA96" s="276">
        <v>64.599999999999994</v>
      </c>
      <c r="AB96" s="276">
        <v>65.099999999999994</v>
      </c>
      <c r="AC96" s="276">
        <v>65.099999999999994</v>
      </c>
      <c r="AD96" s="276">
        <v>65.099999999999994</v>
      </c>
      <c r="AE96" s="276">
        <v>64.8</v>
      </c>
      <c r="AF96" s="276">
        <v>64.900000000000006</v>
      </c>
      <c r="AG96" s="277"/>
      <c r="AH96" s="226">
        <f t="shared" si="14"/>
        <v>65.099999999999994</v>
      </c>
      <c r="AI96" s="227">
        <f t="shared" si="16"/>
        <v>62.4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4"/>
        <v>0</v>
      </c>
      <c r="AI97" s="227">
        <f t="shared" si="16"/>
        <v>0</v>
      </c>
    </row>
    <row r="98" spans="1:37" ht="15.75" thickBot="1" x14ac:dyDescent="0.3">
      <c r="A98" s="279" t="s">
        <v>102</v>
      </c>
      <c r="B98" s="280">
        <f t="shared" ref="B98:AF98" si="23">SUM(B15,B18,B21:B22,B46,B48:B49,B51,B53,B99:B102,B124,B130,B136,B145,B147,B159,B166,B169:B170,B177,B179,B181,B185:B187,B189:B191,B196,B202:B203,B205:B207,B215,B220)</f>
        <v>73.599999999999994</v>
      </c>
      <c r="C98" s="280">
        <f t="shared" si="23"/>
        <v>54.539999999999992</v>
      </c>
      <c r="D98" s="280">
        <f t="shared" si="23"/>
        <v>48.039999999999992</v>
      </c>
      <c r="E98" s="280">
        <f t="shared" si="23"/>
        <v>72.539999999999992</v>
      </c>
      <c r="F98" s="280">
        <f t="shared" si="23"/>
        <v>72.539999999999992</v>
      </c>
      <c r="G98" s="280">
        <f t="shared" si="23"/>
        <v>83.539999999999992</v>
      </c>
      <c r="H98" s="280">
        <f t="shared" si="23"/>
        <v>112.53999999999999</v>
      </c>
      <c r="I98" s="280">
        <f t="shared" si="23"/>
        <v>137.04</v>
      </c>
      <c r="J98" s="280">
        <f t="shared" si="23"/>
        <v>175.04000000000002</v>
      </c>
      <c r="K98" s="280">
        <f t="shared" si="23"/>
        <v>202.04000000000002</v>
      </c>
      <c r="L98" s="280">
        <f t="shared" si="23"/>
        <v>231.04000000000002</v>
      </c>
      <c r="M98" s="280">
        <f t="shared" si="23"/>
        <v>138.94</v>
      </c>
      <c r="N98" s="280">
        <f t="shared" si="23"/>
        <v>145.14000000000001</v>
      </c>
      <c r="O98" s="280">
        <f t="shared" si="23"/>
        <v>225.23999999999998</v>
      </c>
      <c r="P98" s="280">
        <f t="shared" si="23"/>
        <v>235.64000000000001</v>
      </c>
      <c r="Q98" s="280">
        <f t="shared" si="23"/>
        <v>218.1</v>
      </c>
      <c r="R98" s="280">
        <f t="shared" si="23"/>
        <v>200</v>
      </c>
      <c r="S98" s="280">
        <f t="shared" si="23"/>
        <v>227.2</v>
      </c>
      <c r="T98" s="280">
        <f t="shared" si="23"/>
        <v>239.6</v>
      </c>
      <c r="U98" s="280">
        <f t="shared" si="23"/>
        <v>192.20000000000002</v>
      </c>
      <c r="V98" s="280">
        <f t="shared" si="23"/>
        <v>198.79999999999998</v>
      </c>
      <c r="W98" s="280">
        <f t="shared" si="23"/>
        <v>207.79999999999995</v>
      </c>
      <c r="X98" s="280">
        <f t="shared" si="23"/>
        <v>219.79999999999998</v>
      </c>
      <c r="Y98" s="280">
        <f t="shared" si="23"/>
        <v>204.4</v>
      </c>
      <c r="Z98" s="280">
        <f t="shared" si="23"/>
        <v>243.2</v>
      </c>
      <c r="AA98" s="280">
        <f t="shared" si="23"/>
        <v>225</v>
      </c>
      <c r="AB98" s="280">
        <f t="shared" si="23"/>
        <v>189</v>
      </c>
      <c r="AC98" s="280">
        <f t="shared" si="23"/>
        <v>162.89999999999998</v>
      </c>
      <c r="AD98" s="280">
        <f t="shared" si="23"/>
        <v>188.79999999999998</v>
      </c>
      <c r="AE98" s="280">
        <f t="shared" si="23"/>
        <v>126.30000000000001</v>
      </c>
      <c r="AF98" s="280">
        <f t="shared" si="23"/>
        <v>84.500000000000014</v>
      </c>
      <c r="AG98" s="281"/>
      <c r="AH98" s="226">
        <f>MAX(C98:AF98)</f>
        <v>243.2</v>
      </c>
      <c r="AI98" s="227">
        <f>MIN(C98:AF98)</f>
        <v>48.039999999999992</v>
      </c>
    </row>
    <row r="99" spans="1:37" x14ac:dyDescent="0.25">
      <c r="A99" s="268" t="s">
        <v>103</v>
      </c>
      <c r="B99" s="282">
        <v>14</v>
      </c>
      <c r="C99" s="282">
        <v>15</v>
      </c>
      <c r="D99" s="282">
        <v>7</v>
      </c>
      <c r="E99" s="282">
        <v>41</v>
      </c>
      <c r="F99" s="282">
        <v>45</v>
      </c>
      <c r="G99" s="282">
        <v>44</v>
      </c>
      <c r="H99" s="282">
        <v>61</v>
      </c>
      <c r="I99" s="282">
        <v>64</v>
      </c>
      <c r="J99" s="282">
        <f>45+26</f>
        <v>71</v>
      </c>
      <c r="K99" s="282">
        <f>48+27</f>
        <v>75</v>
      </c>
      <c r="L99" s="282">
        <f>49+30</f>
        <v>79</v>
      </c>
      <c r="M99" s="282">
        <v>23.8</v>
      </c>
      <c r="N99" s="282">
        <v>22.3</v>
      </c>
      <c r="O99" s="282">
        <v>22.5</v>
      </c>
      <c r="P99" s="282">
        <v>13.8</v>
      </c>
      <c r="Q99" s="282">
        <v>18</v>
      </c>
      <c r="R99" s="282">
        <v>19.2</v>
      </c>
      <c r="S99" s="282">
        <v>17.600000000000001</v>
      </c>
      <c r="T99" s="282">
        <v>12</v>
      </c>
      <c r="U99" s="282">
        <v>34.9</v>
      </c>
      <c r="V99" s="282">
        <v>35.6</v>
      </c>
      <c r="W99" s="282">
        <v>20.2</v>
      </c>
      <c r="X99" s="282">
        <v>32.799999999999997</v>
      </c>
      <c r="Y99" s="282">
        <v>29.8</v>
      </c>
      <c r="Z99" s="282">
        <v>38</v>
      </c>
      <c r="AA99" s="282">
        <v>34.1</v>
      </c>
      <c r="AB99" s="282">
        <v>29.3</v>
      </c>
      <c r="AC99" s="282">
        <v>35.1</v>
      </c>
      <c r="AD99" s="282">
        <f>45.9+29.8</f>
        <v>75.7</v>
      </c>
      <c r="AE99" s="282">
        <f>41.2+25.2</f>
        <v>66.400000000000006</v>
      </c>
      <c r="AF99" s="282">
        <f>26.7+12.4</f>
        <v>39.1</v>
      </c>
      <c r="AG99" s="283">
        <v>75</v>
      </c>
      <c r="AH99" s="226">
        <f t="shared" ref="AH99:AH106" si="24">IF(ABS(MAX(C99:AF99))&gt;ABS(MIN(C99:AF99)),MAX(C99:AF99),MIN(C99:AF99))</f>
        <v>79</v>
      </c>
      <c r="AI99" s="284">
        <f t="shared" ref="AI99:AI106" si="25">INDEX($C$9:$AF$9,1,MATCH(AH99,C99:AF99,0))</f>
        <v>0.3125</v>
      </c>
    </row>
    <row r="100" spans="1:37" x14ac:dyDescent="0.25">
      <c r="A100" s="271" t="s">
        <v>104</v>
      </c>
      <c r="B100" s="285">
        <v>-135</v>
      </c>
      <c r="C100" s="285">
        <v>-145</v>
      </c>
      <c r="D100" s="285">
        <v>-135</v>
      </c>
      <c r="E100" s="285">
        <v>-146</v>
      </c>
      <c r="F100" s="285">
        <v>-150</v>
      </c>
      <c r="G100" s="285">
        <v>-140</v>
      </c>
      <c r="H100" s="285">
        <v>-134</v>
      </c>
      <c r="I100" s="285">
        <v>-117</v>
      </c>
      <c r="J100" s="285">
        <f>-47-52</f>
        <v>-99</v>
      </c>
      <c r="K100" s="285">
        <f>-42-49</f>
        <v>-91</v>
      </c>
      <c r="L100" s="285">
        <f>-36-47</f>
        <v>-83</v>
      </c>
      <c r="M100" s="285">
        <f>-50.6-48.9</f>
        <v>-99.5</v>
      </c>
      <c r="N100" s="285">
        <f>-44.8-47.9</f>
        <v>-92.699999999999989</v>
      </c>
      <c r="O100" s="285">
        <f>-49.1-45</f>
        <v>-94.1</v>
      </c>
      <c r="P100" s="285">
        <f>-49.4-41.8</f>
        <v>-91.199999999999989</v>
      </c>
      <c r="Q100" s="285">
        <v>-102</v>
      </c>
      <c r="R100" s="285">
        <v>-103</v>
      </c>
      <c r="S100" s="285">
        <f>-40-45</f>
        <v>-85</v>
      </c>
      <c r="T100" s="285">
        <f>-34-42</f>
        <v>-76</v>
      </c>
      <c r="U100" s="285">
        <f>-42.6-47</f>
        <v>-89.6</v>
      </c>
      <c r="V100" s="285">
        <f>-47-52</f>
        <v>-99</v>
      </c>
      <c r="W100" s="285">
        <f>-35-39</f>
        <v>-74</v>
      </c>
      <c r="X100" s="285">
        <f>-41.2-45.1</f>
        <v>-86.300000000000011</v>
      </c>
      <c r="Y100" s="285">
        <f>-34-42</f>
        <v>-76</v>
      </c>
      <c r="Z100" s="285">
        <f>-34-42</f>
        <v>-76</v>
      </c>
      <c r="AA100" s="285">
        <v>-82.4</v>
      </c>
      <c r="AB100" s="285">
        <v>-94</v>
      </c>
      <c r="AC100" s="285">
        <v>-112</v>
      </c>
      <c r="AD100" s="285">
        <f>-56.9-62</f>
        <v>-118.9</v>
      </c>
      <c r="AE100" s="285">
        <f>-65.7-71.6</f>
        <v>-137.30000000000001</v>
      </c>
      <c r="AF100" s="285">
        <f>-63.3-69.3</f>
        <v>-132.6</v>
      </c>
      <c r="AG100" s="283">
        <v>240</v>
      </c>
      <c r="AH100" s="226">
        <f t="shared" si="24"/>
        <v>-150</v>
      </c>
      <c r="AI100" s="284">
        <f t="shared" si="25"/>
        <v>0.16666666666666699</v>
      </c>
    </row>
    <row r="101" spans="1:37" x14ac:dyDescent="0.25">
      <c r="A101" s="271" t="s">
        <v>105</v>
      </c>
      <c r="B101" s="285">
        <v>-2</v>
      </c>
      <c r="C101" s="285">
        <v>-3</v>
      </c>
      <c r="D101" s="285">
        <v>-1.5</v>
      </c>
      <c r="E101" s="285">
        <v>-5</v>
      </c>
      <c r="F101" s="285">
        <v>-5</v>
      </c>
      <c r="G101" s="285">
        <v>-3</v>
      </c>
      <c r="H101" s="285">
        <v>-2</v>
      </c>
      <c r="I101" s="285">
        <v>2</v>
      </c>
      <c r="J101" s="285">
        <v>5</v>
      </c>
      <c r="K101" s="285">
        <v>20</v>
      </c>
      <c r="L101" s="285">
        <v>37</v>
      </c>
      <c r="M101" s="285">
        <v>6.6</v>
      </c>
      <c r="N101" s="285">
        <v>7.5</v>
      </c>
      <c r="O101" s="285">
        <v>21.2</v>
      </c>
      <c r="P101" s="285">
        <v>30.4</v>
      </c>
      <c r="Q101" s="285">
        <v>25</v>
      </c>
      <c r="R101" s="285">
        <v>16.899999999999999</v>
      </c>
      <c r="S101" s="285">
        <v>22</v>
      </c>
      <c r="T101" s="285">
        <v>30</v>
      </c>
      <c r="U101" s="285">
        <v>11.8</v>
      </c>
      <c r="V101" s="285">
        <v>10.6</v>
      </c>
      <c r="W101" s="285">
        <v>16.100000000000001</v>
      </c>
      <c r="X101" s="285">
        <v>20.7</v>
      </c>
      <c r="Y101" s="285">
        <v>32</v>
      </c>
      <c r="Z101" s="285">
        <v>33</v>
      </c>
      <c r="AA101" s="285">
        <v>26.3</v>
      </c>
      <c r="AB101" s="285">
        <v>9.1</v>
      </c>
      <c r="AC101" s="285">
        <v>7.1</v>
      </c>
      <c r="AD101" s="285">
        <v>3.2</v>
      </c>
      <c r="AE101" s="285">
        <v>0</v>
      </c>
      <c r="AF101" s="285">
        <v>-0.3</v>
      </c>
      <c r="AG101" s="283">
        <v>60</v>
      </c>
      <c r="AH101" s="226">
        <f t="shared" si="24"/>
        <v>37</v>
      </c>
      <c r="AI101" s="284">
        <f t="shared" si="25"/>
        <v>0.3125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67.599999999999994</v>
      </c>
      <c r="P102" s="287">
        <v>74.599999999999994</v>
      </c>
      <c r="Q102" s="287">
        <v>70</v>
      </c>
      <c r="R102" s="287">
        <v>59.8</v>
      </c>
      <c r="S102" s="287">
        <v>68</v>
      </c>
      <c r="T102" s="287">
        <v>69</v>
      </c>
      <c r="U102" s="287">
        <v>44.4</v>
      </c>
      <c r="V102" s="287">
        <v>46.4</v>
      </c>
      <c r="W102" s="287">
        <v>70.3</v>
      </c>
      <c r="X102" s="287">
        <v>47.4</v>
      </c>
      <c r="Y102" s="287">
        <v>53.4</v>
      </c>
      <c r="Z102" s="287">
        <v>53</v>
      </c>
      <c r="AA102" s="287">
        <v>51.8</v>
      </c>
      <c r="AB102" s="287">
        <v>49.4</v>
      </c>
      <c r="AC102" s="287">
        <v>37.5</v>
      </c>
      <c r="AD102" s="287">
        <v>32</v>
      </c>
      <c r="AE102" s="287">
        <v>0</v>
      </c>
      <c r="AF102" s="287">
        <v>0</v>
      </c>
      <c r="AG102" s="288">
        <v>120</v>
      </c>
      <c r="AH102" s="226">
        <f t="shared" si="24"/>
        <v>74.599999999999994</v>
      </c>
      <c r="AI102" s="284">
        <f t="shared" si="25"/>
        <v>0.45833333333333298</v>
      </c>
    </row>
    <row r="103" spans="1:37" x14ac:dyDescent="0.25">
      <c r="A103" s="286" t="s">
        <v>107</v>
      </c>
      <c r="B103" s="287">
        <v>50</v>
      </c>
      <c r="C103" s="287">
        <v>40</v>
      </c>
      <c r="D103" s="287">
        <v>50</v>
      </c>
      <c r="E103" s="287">
        <v>34</v>
      </c>
      <c r="F103" s="287">
        <v>30</v>
      </c>
      <c r="G103" s="287">
        <v>43</v>
      </c>
      <c r="H103" s="287">
        <v>26</v>
      </c>
      <c r="I103" s="287">
        <v>35</v>
      </c>
      <c r="J103" s="287">
        <v>46</v>
      </c>
      <c r="K103" s="287">
        <v>46</v>
      </c>
      <c r="L103" s="287">
        <v>45</v>
      </c>
      <c r="M103" s="287">
        <v>62.3</v>
      </c>
      <c r="N103" s="287">
        <v>71.2</v>
      </c>
      <c r="O103" s="287">
        <v>71.5</v>
      </c>
      <c r="P103" s="287">
        <v>76.8</v>
      </c>
      <c r="Q103" s="287">
        <v>72</v>
      </c>
      <c r="R103" s="287">
        <v>65.7</v>
      </c>
      <c r="S103" s="287">
        <v>73.3</v>
      </c>
      <c r="T103" s="287">
        <v>68.099999999999994</v>
      </c>
      <c r="U103" s="287">
        <v>49.1</v>
      </c>
      <c r="V103" s="287">
        <v>49.5</v>
      </c>
      <c r="W103" s="287">
        <v>63</v>
      </c>
      <c r="X103" s="287">
        <v>44</v>
      </c>
      <c r="Y103" s="287">
        <v>50</v>
      </c>
      <c r="Z103" s="287">
        <v>42</v>
      </c>
      <c r="AA103" s="287">
        <v>48</v>
      </c>
      <c r="AB103" s="287">
        <v>51.3</v>
      </c>
      <c r="AC103" s="287">
        <v>40.5</v>
      </c>
      <c r="AD103" s="287">
        <v>40.1</v>
      </c>
      <c r="AE103" s="287">
        <v>33.5</v>
      </c>
      <c r="AF103" s="287">
        <v>44.5</v>
      </c>
      <c r="AG103" s="288"/>
      <c r="AH103" s="226">
        <f t="shared" si="24"/>
        <v>76.8</v>
      </c>
      <c r="AI103" s="284">
        <f t="shared" si="25"/>
        <v>0.45833333333333298</v>
      </c>
    </row>
    <row r="104" spans="1:37" x14ac:dyDescent="0.25">
      <c r="A104" s="286" t="s">
        <v>108</v>
      </c>
      <c r="B104" s="287">
        <v>54</v>
      </c>
      <c r="C104" s="287">
        <v>48</v>
      </c>
      <c r="D104" s="287">
        <v>62</v>
      </c>
      <c r="E104" s="287">
        <v>43</v>
      </c>
      <c r="F104" s="287">
        <v>43</v>
      </c>
      <c r="G104" s="287">
        <v>48</v>
      </c>
      <c r="H104" s="287">
        <v>15</v>
      </c>
      <c r="I104" s="287">
        <v>26</v>
      </c>
      <c r="J104" s="287">
        <v>22</v>
      </c>
      <c r="K104" s="287">
        <v>4</v>
      </c>
      <c r="L104" s="287">
        <v>0</v>
      </c>
      <c r="M104" s="287">
        <v>0</v>
      </c>
      <c r="N104" s="287">
        <v>24.6</v>
      </c>
      <c r="O104" s="287">
        <v>21.4</v>
      </c>
      <c r="P104" s="287">
        <v>25.3</v>
      </c>
      <c r="Q104" s="287">
        <v>27</v>
      </c>
      <c r="R104" s="287">
        <v>33.200000000000003</v>
      </c>
      <c r="S104" s="287">
        <v>44.3</v>
      </c>
      <c r="T104" s="287">
        <v>0</v>
      </c>
      <c r="U104" s="287"/>
      <c r="V104" s="287">
        <v>0</v>
      </c>
      <c r="W104" s="287">
        <v>-2.7</v>
      </c>
      <c r="X104" s="287">
        <v>13.8</v>
      </c>
      <c r="Y104" s="287">
        <v>0</v>
      </c>
      <c r="Z104" s="287">
        <v>4.7</v>
      </c>
      <c r="AA104" s="287">
        <v>10.199999999999999</v>
      </c>
      <c r="AB104" s="287">
        <v>-2.2999999999999998</v>
      </c>
      <c r="AC104" s="287">
        <v>-5.6</v>
      </c>
      <c r="AD104" s="287">
        <v>8.1</v>
      </c>
      <c r="AE104" s="287">
        <v>21.6</v>
      </c>
      <c r="AF104" s="287">
        <v>35.299999999999997</v>
      </c>
      <c r="AG104" s="289"/>
      <c r="AH104" s="226">
        <f t="shared" si="24"/>
        <v>62</v>
      </c>
      <c r="AI104" s="284">
        <f t="shared" si="25"/>
        <v>8.3333333333333301E-2</v>
      </c>
    </row>
    <row r="105" spans="1:37" x14ac:dyDescent="0.25">
      <c r="A105" s="290" t="s">
        <v>109</v>
      </c>
      <c r="B105" s="274">
        <v>81</v>
      </c>
      <c r="C105" s="274">
        <v>82</v>
      </c>
      <c r="D105" s="274">
        <v>86</v>
      </c>
      <c r="E105" s="274">
        <v>87</v>
      </c>
      <c r="F105" s="274">
        <v>90</v>
      </c>
      <c r="G105" s="274">
        <v>92</v>
      </c>
      <c r="H105" s="274">
        <v>93</v>
      </c>
      <c r="I105" s="274">
        <v>90</v>
      </c>
      <c r="J105" s="274">
        <v>89</v>
      </c>
      <c r="K105" s="274">
        <v>83</v>
      </c>
      <c r="L105" s="274">
        <v>75</v>
      </c>
      <c r="M105" s="274">
        <v>69.099999999999994</v>
      </c>
      <c r="N105" s="274">
        <v>71</v>
      </c>
      <c r="O105" s="274">
        <v>80.5</v>
      </c>
      <c r="P105" s="274">
        <v>79.5</v>
      </c>
      <c r="Q105" s="274">
        <v>96</v>
      </c>
      <c r="R105" s="274">
        <v>97.8</v>
      </c>
      <c r="S105" s="274">
        <v>90.8</v>
      </c>
      <c r="T105" s="274">
        <v>89</v>
      </c>
      <c r="U105" s="274">
        <v>91.6</v>
      </c>
      <c r="V105" s="274">
        <v>82.3</v>
      </c>
      <c r="W105" s="274"/>
      <c r="X105" s="274">
        <v>74</v>
      </c>
      <c r="Y105" s="274">
        <v>71</v>
      </c>
      <c r="Z105" s="274">
        <v>72.400000000000006</v>
      </c>
      <c r="AA105" s="274">
        <v>60.4</v>
      </c>
      <c r="AB105" s="274">
        <v>73.599999999999994</v>
      </c>
      <c r="AC105" s="274">
        <v>75.900000000000006</v>
      </c>
      <c r="AD105" s="274">
        <v>81.900000000000006</v>
      </c>
      <c r="AE105" s="274">
        <v>91.1</v>
      </c>
      <c r="AF105" s="274">
        <v>90.8</v>
      </c>
      <c r="AG105" s="289"/>
      <c r="AH105" s="226">
        <f t="shared" si="24"/>
        <v>97.8</v>
      </c>
      <c r="AI105" s="284">
        <f t="shared" si="25"/>
        <v>0.54166666666666696</v>
      </c>
    </row>
    <row r="106" spans="1:37" ht="15.75" thickBot="1" x14ac:dyDescent="0.3">
      <c r="A106" s="290" t="s">
        <v>110</v>
      </c>
      <c r="B106" s="274">
        <v>85</v>
      </c>
      <c r="C106" s="274">
        <v>95</v>
      </c>
      <c r="D106" s="274">
        <v>90</v>
      </c>
      <c r="E106" s="274">
        <v>94</v>
      </c>
      <c r="F106" s="274">
        <v>96</v>
      </c>
      <c r="G106" s="274">
        <v>90</v>
      </c>
      <c r="H106" s="274">
        <v>92</v>
      </c>
      <c r="I106" s="274">
        <v>73</v>
      </c>
      <c r="J106" s="274">
        <v>64</v>
      </c>
      <c r="K106" s="274">
        <v>70</v>
      </c>
      <c r="L106" s="274">
        <v>75</v>
      </c>
      <c r="M106" s="274">
        <v>59.3</v>
      </c>
      <c r="N106" s="274">
        <v>55.1</v>
      </c>
      <c r="O106" s="274">
        <v>55.4</v>
      </c>
      <c r="P106" s="274">
        <v>50.7</v>
      </c>
      <c r="Q106" s="274">
        <v>55</v>
      </c>
      <c r="R106" s="274">
        <v>56.4</v>
      </c>
      <c r="S106" s="274">
        <v>50.5</v>
      </c>
      <c r="T106" s="274">
        <v>48.3</v>
      </c>
      <c r="U106" s="274">
        <v>66</v>
      </c>
      <c r="V106" s="274">
        <v>69.5</v>
      </c>
      <c r="W106" s="274">
        <v>45.6</v>
      </c>
      <c r="X106" s="274">
        <v>63</v>
      </c>
      <c r="Y106" s="274">
        <v>64.7</v>
      </c>
      <c r="Z106" s="274">
        <v>72</v>
      </c>
      <c r="AA106" s="274"/>
      <c r="AB106" s="274">
        <v>62.4</v>
      </c>
      <c r="AC106" s="274">
        <v>78</v>
      </c>
      <c r="AD106" s="274">
        <v>78.2</v>
      </c>
      <c r="AE106" s="274">
        <v>91</v>
      </c>
      <c r="AF106" s="274">
        <v>96.1</v>
      </c>
      <c r="AG106" s="289"/>
      <c r="AH106" s="226">
        <f t="shared" si="24"/>
        <v>96.1</v>
      </c>
      <c r="AI106" s="284">
        <f t="shared" si="25"/>
        <v>0.95833333333333304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6">SUM(C108:C212)</f>
        <v>0</v>
      </c>
      <c r="D213" s="307">
        <f t="shared" si="26"/>
        <v>0</v>
      </c>
      <c r="E213" s="307">
        <f t="shared" si="26"/>
        <v>0</v>
      </c>
      <c r="F213" s="307">
        <f t="shared" si="26"/>
        <v>0</v>
      </c>
      <c r="G213" s="307">
        <f t="shared" si="26"/>
        <v>0</v>
      </c>
      <c r="H213" s="307">
        <f t="shared" si="26"/>
        <v>0</v>
      </c>
      <c r="I213" s="307">
        <f t="shared" si="26"/>
        <v>0</v>
      </c>
      <c r="J213" s="307">
        <f t="shared" si="26"/>
        <v>0</v>
      </c>
      <c r="K213" s="307">
        <f t="shared" si="26"/>
        <v>0</v>
      </c>
      <c r="L213" s="307">
        <f t="shared" si="26"/>
        <v>0</v>
      </c>
      <c r="M213" s="307">
        <f t="shared" si="26"/>
        <v>0</v>
      </c>
      <c r="N213" s="307">
        <f t="shared" si="26"/>
        <v>0</v>
      </c>
      <c r="O213" s="307">
        <f t="shared" si="26"/>
        <v>0</v>
      </c>
      <c r="P213" s="307">
        <f t="shared" si="26"/>
        <v>0</v>
      </c>
      <c r="Q213" s="307">
        <f t="shared" si="26"/>
        <v>0</v>
      </c>
      <c r="R213" s="307">
        <f t="shared" si="26"/>
        <v>0</v>
      </c>
      <c r="S213" s="307">
        <f t="shared" si="26"/>
        <v>0</v>
      </c>
      <c r="T213" s="307">
        <f t="shared" si="26"/>
        <v>0</v>
      </c>
      <c r="U213" s="307">
        <f t="shared" si="26"/>
        <v>0</v>
      </c>
      <c r="V213" s="307">
        <f t="shared" si="26"/>
        <v>0</v>
      </c>
      <c r="W213" s="307">
        <f t="shared" si="26"/>
        <v>0</v>
      </c>
      <c r="X213" s="307">
        <f t="shared" si="26"/>
        <v>0</v>
      </c>
      <c r="Y213" s="307">
        <f t="shared" si="26"/>
        <v>0</v>
      </c>
      <c r="Z213" s="307">
        <f t="shared" si="26"/>
        <v>0</v>
      </c>
      <c r="AA213" s="307">
        <f t="shared" si="26"/>
        <v>0</v>
      </c>
      <c r="AB213" s="307">
        <f t="shared" si="26"/>
        <v>0</v>
      </c>
      <c r="AC213" s="307">
        <f t="shared" si="26"/>
        <v>0</v>
      </c>
      <c r="AD213" s="307">
        <f t="shared" si="26"/>
        <v>0</v>
      </c>
      <c r="AE213" s="307">
        <f t="shared" si="26"/>
        <v>0</v>
      </c>
      <c r="AF213" s="308">
        <f t="shared" si="26"/>
        <v>0</v>
      </c>
      <c r="AG213" s="309">
        <f t="shared" si="26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7">AF215</f>
        <v>0</v>
      </c>
      <c r="C215" s="312">
        <v>0.3</v>
      </c>
      <c r="D215" s="312">
        <f t="shared" ref="D215:P220" si="28">C215</f>
        <v>0.3</v>
      </c>
      <c r="E215" s="312">
        <f t="shared" si="28"/>
        <v>0.3</v>
      </c>
      <c r="F215" s="312">
        <f t="shared" si="28"/>
        <v>0.3</v>
      </c>
      <c r="G215" s="312">
        <f t="shared" si="28"/>
        <v>0.3</v>
      </c>
      <c r="H215" s="312">
        <f t="shared" si="28"/>
        <v>0.3</v>
      </c>
      <c r="I215" s="312">
        <f t="shared" si="28"/>
        <v>0.3</v>
      </c>
      <c r="J215" s="312">
        <f t="shared" si="28"/>
        <v>0.3</v>
      </c>
      <c r="K215" s="312">
        <f t="shared" si="28"/>
        <v>0.3</v>
      </c>
      <c r="L215" s="312">
        <f t="shared" si="28"/>
        <v>0.3</v>
      </c>
      <c r="M215" s="312">
        <f t="shared" si="28"/>
        <v>0.3</v>
      </c>
      <c r="N215" s="312">
        <f t="shared" si="28"/>
        <v>0.3</v>
      </c>
      <c r="O215" s="312">
        <f t="shared" si="28"/>
        <v>0.3</v>
      </c>
      <c r="P215" s="312">
        <f t="shared" si="28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7"/>
        <v>0</v>
      </c>
      <c r="C216" s="299">
        <v>0.4</v>
      </c>
      <c r="D216" s="299">
        <f t="shared" si="28"/>
        <v>0.4</v>
      </c>
      <c r="E216" s="299">
        <f t="shared" si="28"/>
        <v>0.4</v>
      </c>
      <c r="F216" s="299">
        <f t="shared" si="28"/>
        <v>0.4</v>
      </c>
      <c r="G216" s="299">
        <f t="shared" si="28"/>
        <v>0.4</v>
      </c>
      <c r="H216" s="299">
        <f t="shared" si="28"/>
        <v>0.4</v>
      </c>
      <c r="I216" s="299">
        <f t="shared" si="28"/>
        <v>0.4</v>
      </c>
      <c r="J216" s="299">
        <f t="shared" si="28"/>
        <v>0.4</v>
      </c>
      <c r="K216" s="299">
        <f t="shared" si="28"/>
        <v>0.4</v>
      </c>
      <c r="L216" s="299">
        <f t="shared" si="28"/>
        <v>0.4</v>
      </c>
      <c r="M216" s="299">
        <f t="shared" si="28"/>
        <v>0.4</v>
      </c>
      <c r="N216" s="299">
        <f t="shared" si="28"/>
        <v>0.4</v>
      </c>
      <c r="O216" s="299">
        <f t="shared" si="28"/>
        <v>0.4</v>
      </c>
      <c r="P216" s="299">
        <f t="shared" si="28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7"/>
        <v>0</v>
      </c>
      <c r="C217" s="299">
        <v>1.5</v>
      </c>
      <c r="D217" s="299">
        <f t="shared" si="28"/>
        <v>1.5</v>
      </c>
      <c r="E217" s="299">
        <f t="shared" si="28"/>
        <v>1.5</v>
      </c>
      <c r="F217" s="299">
        <f t="shared" si="28"/>
        <v>1.5</v>
      </c>
      <c r="G217" s="299">
        <f t="shared" si="28"/>
        <v>1.5</v>
      </c>
      <c r="H217" s="299">
        <f t="shared" si="28"/>
        <v>1.5</v>
      </c>
      <c r="I217" s="299">
        <f t="shared" si="28"/>
        <v>1.5</v>
      </c>
      <c r="J217" s="299">
        <f t="shared" si="28"/>
        <v>1.5</v>
      </c>
      <c r="K217" s="299">
        <f t="shared" si="28"/>
        <v>1.5</v>
      </c>
      <c r="L217" s="299">
        <f t="shared" si="28"/>
        <v>1.5</v>
      </c>
      <c r="M217" s="299">
        <f t="shared" si="28"/>
        <v>1.5</v>
      </c>
      <c r="N217" s="299">
        <f t="shared" si="28"/>
        <v>1.5</v>
      </c>
      <c r="O217" s="299">
        <f t="shared" si="28"/>
        <v>1.5</v>
      </c>
      <c r="P217" s="299">
        <f t="shared" si="28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7"/>
        <v>0</v>
      </c>
      <c r="C218" s="299">
        <v>0.3</v>
      </c>
      <c r="D218" s="299">
        <f t="shared" si="28"/>
        <v>0.3</v>
      </c>
      <c r="E218" s="299">
        <f t="shared" si="28"/>
        <v>0.3</v>
      </c>
      <c r="F218" s="299">
        <f t="shared" si="28"/>
        <v>0.3</v>
      </c>
      <c r="G218" s="299">
        <f t="shared" si="28"/>
        <v>0.3</v>
      </c>
      <c r="H218" s="299">
        <f t="shared" si="28"/>
        <v>0.3</v>
      </c>
      <c r="I218" s="299">
        <f t="shared" si="28"/>
        <v>0.3</v>
      </c>
      <c r="J218" s="299">
        <f t="shared" si="28"/>
        <v>0.3</v>
      </c>
      <c r="K218" s="299">
        <f t="shared" si="28"/>
        <v>0.3</v>
      </c>
      <c r="L218" s="299">
        <f t="shared" si="28"/>
        <v>0.3</v>
      </c>
      <c r="M218" s="299">
        <f t="shared" si="28"/>
        <v>0.3</v>
      </c>
      <c r="N218" s="299">
        <f t="shared" si="28"/>
        <v>0.3</v>
      </c>
      <c r="O218" s="299">
        <f t="shared" si="28"/>
        <v>0.3</v>
      </c>
      <c r="P218" s="299">
        <f t="shared" si="28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7"/>
        <v>0</v>
      </c>
      <c r="C219" s="299">
        <v>0.4</v>
      </c>
      <c r="D219" s="299">
        <f t="shared" si="28"/>
        <v>0.4</v>
      </c>
      <c r="E219" s="299">
        <f t="shared" si="28"/>
        <v>0.4</v>
      </c>
      <c r="F219" s="299">
        <f t="shared" si="28"/>
        <v>0.4</v>
      </c>
      <c r="G219" s="299">
        <f t="shared" si="28"/>
        <v>0.4</v>
      </c>
      <c r="H219" s="299">
        <f t="shared" si="28"/>
        <v>0.4</v>
      </c>
      <c r="I219" s="299">
        <f t="shared" si="28"/>
        <v>0.4</v>
      </c>
      <c r="J219" s="299">
        <f t="shared" si="28"/>
        <v>0.4</v>
      </c>
      <c r="K219" s="299">
        <f t="shared" si="28"/>
        <v>0.4</v>
      </c>
      <c r="L219" s="299">
        <f t="shared" si="28"/>
        <v>0.4</v>
      </c>
      <c r="M219" s="299">
        <f t="shared" si="28"/>
        <v>0.4</v>
      </c>
      <c r="N219" s="299">
        <f t="shared" si="28"/>
        <v>0.4</v>
      </c>
      <c r="O219" s="299">
        <f t="shared" si="28"/>
        <v>0.4</v>
      </c>
      <c r="P219" s="299">
        <f t="shared" si="28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7"/>
        <v>0</v>
      </c>
      <c r="C220" s="303">
        <v>0.64</v>
      </c>
      <c r="D220" s="303">
        <f t="shared" si="28"/>
        <v>0.64</v>
      </c>
      <c r="E220" s="303">
        <f t="shared" si="28"/>
        <v>0.64</v>
      </c>
      <c r="F220" s="303">
        <f t="shared" si="28"/>
        <v>0.64</v>
      </c>
      <c r="G220" s="303">
        <f t="shared" si="28"/>
        <v>0.64</v>
      </c>
      <c r="H220" s="303">
        <f t="shared" si="28"/>
        <v>0.64</v>
      </c>
      <c r="I220" s="303">
        <f t="shared" si="28"/>
        <v>0.64</v>
      </c>
      <c r="J220" s="303">
        <f t="shared" si="28"/>
        <v>0.64</v>
      </c>
      <c r="K220" s="303">
        <f t="shared" si="28"/>
        <v>0.64</v>
      </c>
      <c r="L220" s="303">
        <f t="shared" si="28"/>
        <v>0.64</v>
      </c>
      <c r="M220" s="303">
        <f t="shared" si="28"/>
        <v>0.64</v>
      </c>
      <c r="N220" s="303">
        <f t="shared" si="28"/>
        <v>0.64</v>
      </c>
      <c r="O220" s="303">
        <f t="shared" si="28"/>
        <v>0.64</v>
      </c>
      <c r="P220" s="303">
        <f t="shared" si="28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9">SUM(D215:D220)</f>
        <v>3.54</v>
      </c>
      <c r="E221" s="307">
        <f t="shared" si="29"/>
        <v>3.54</v>
      </c>
      <c r="F221" s="307">
        <f t="shared" si="29"/>
        <v>3.54</v>
      </c>
      <c r="G221" s="307">
        <f t="shared" si="29"/>
        <v>3.54</v>
      </c>
      <c r="H221" s="307">
        <f t="shared" si="29"/>
        <v>3.54</v>
      </c>
      <c r="I221" s="307">
        <f t="shared" si="29"/>
        <v>3.54</v>
      </c>
      <c r="J221" s="307">
        <f t="shared" si="29"/>
        <v>3.54</v>
      </c>
      <c r="K221" s="307">
        <f t="shared" si="29"/>
        <v>3.54</v>
      </c>
      <c r="L221" s="307">
        <f t="shared" si="29"/>
        <v>3.54</v>
      </c>
      <c r="M221" s="307">
        <f>SUM(M215:M220)</f>
        <v>3.54</v>
      </c>
      <c r="N221" s="307">
        <f t="shared" ref="N221:S221" si="30">SUM(N215:N220)</f>
        <v>3.54</v>
      </c>
      <c r="O221" s="307">
        <f t="shared" si="30"/>
        <v>3.54</v>
      </c>
      <c r="P221" s="307">
        <f t="shared" si="30"/>
        <v>3.54</v>
      </c>
      <c r="Q221" s="307">
        <f t="shared" si="30"/>
        <v>0</v>
      </c>
      <c r="R221" s="307">
        <f t="shared" si="30"/>
        <v>0</v>
      </c>
      <c r="S221" s="307">
        <f t="shared" si="30"/>
        <v>0</v>
      </c>
      <c r="T221" s="307">
        <f>SUM(T215:T220)</f>
        <v>0</v>
      </c>
      <c r="U221" s="307">
        <f t="shared" ref="U221:AG221" si="31">SUM(U215:U220)</f>
        <v>0</v>
      </c>
      <c r="V221" s="307">
        <f t="shared" si="31"/>
        <v>0</v>
      </c>
      <c r="W221" s="307">
        <f t="shared" si="31"/>
        <v>0</v>
      </c>
      <c r="X221" s="307">
        <f t="shared" si="31"/>
        <v>0</v>
      </c>
      <c r="Y221" s="307">
        <f t="shared" si="31"/>
        <v>0</v>
      </c>
      <c r="Z221" s="307">
        <f t="shared" si="31"/>
        <v>0</v>
      </c>
      <c r="AA221" s="307">
        <f t="shared" si="31"/>
        <v>0</v>
      </c>
      <c r="AB221" s="307">
        <f t="shared" si="31"/>
        <v>0</v>
      </c>
      <c r="AC221" s="307">
        <f t="shared" si="31"/>
        <v>0</v>
      </c>
      <c r="AD221" s="307">
        <f t="shared" si="31"/>
        <v>0</v>
      </c>
      <c r="AE221" s="307">
        <f t="shared" si="31"/>
        <v>0</v>
      </c>
      <c r="AF221" s="307">
        <f t="shared" si="31"/>
        <v>0</v>
      </c>
      <c r="AG221" s="317">
        <f t="shared" si="31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1922.94</v>
      </c>
      <c r="C230" s="333">
        <f>INDEX(G9:N9,1,MATCH(MAX(G79:N79),G79:N79,0))</f>
        <v>0.3125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7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2079/02/7)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2079/02/7)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2">B79</f>
        <v>1838.6399999999999</v>
      </c>
      <c r="U235" s="343">
        <f t="shared" si="32"/>
        <v>1828.6399999999999</v>
      </c>
      <c r="V235" s="343">
        <f t="shared" si="32"/>
        <v>1813.6399999999999</v>
      </c>
      <c r="W235" s="343">
        <f t="shared" si="32"/>
        <v>1815.04</v>
      </c>
      <c r="X235" s="343">
        <f t="shared" si="32"/>
        <v>1814.04</v>
      </c>
      <c r="Y235" s="343">
        <f t="shared" si="32"/>
        <v>1814.04</v>
      </c>
      <c r="Z235" s="343">
        <f t="shared" si="32"/>
        <v>1817.04</v>
      </c>
      <c r="AA235" s="343">
        <f t="shared" si="32"/>
        <v>1805.54</v>
      </c>
      <c r="AB235" s="343">
        <f t="shared" si="32"/>
        <v>1816.94</v>
      </c>
      <c r="AC235" s="343">
        <f t="shared" si="32"/>
        <v>1875.94</v>
      </c>
      <c r="AD235" s="343">
        <f t="shared" si="32"/>
        <v>1922.94</v>
      </c>
      <c r="AE235" s="343">
        <f t="shared" si="32"/>
        <v>1857.8400000000001</v>
      </c>
      <c r="AF235" s="343">
        <f t="shared" si="32"/>
        <v>1863.94</v>
      </c>
      <c r="AG235" s="343">
        <f t="shared" si="32"/>
        <v>1895.14</v>
      </c>
      <c r="AH235" s="343">
        <f t="shared" si="32"/>
        <v>1902.04</v>
      </c>
      <c r="AI235" s="343">
        <f t="shared" si="32"/>
        <v>1921.94</v>
      </c>
      <c r="AJ235" s="343">
        <f t="shared" si="32"/>
        <v>1881.64</v>
      </c>
      <c r="AK235" s="343">
        <f t="shared" si="32"/>
        <v>1898.8400000000001</v>
      </c>
      <c r="AL235" s="343">
        <f t="shared" si="32"/>
        <v>1784.0700000000002</v>
      </c>
      <c r="AM235" s="343">
        <f t="shared" si="32"/>
        <v>1867.7599999999998</v>
      </c>
      <c r="AN235" s="343">
        <f t="shared" si="32"/>
        <v>1868.6399999999999</v>
      </c>
      <c r="AO235" s="343">
        <f t="shared" si="32"/>
        <v>1779.0399999999997</v>
      </c>
      <c r="AP235" s="343">
        <f t="shared" si="32"/>
        <v>1874.84</v>
      </c>
      <c r="AQ235" s="343">
        <f t="shared" si="32"/>
        <v>1853.2399999999998</v>
      </c>
      <c r="AR235" s="343">
        <f t="shared" si="32"/>
        <v>1883.1399999999999</v>
      </c>
      <c r="AS235" s="343">
        <f t="shared" si="32"/>
        <v>1904.0399999999997</v>
      </c>
      <c r="AT235" s="343">
        <f t="shared" si="32"/>
        <v>1849.04</v>
      </c>
      <c r="AU235" s="343">
        <f t="shared" si="32"/>
        <v>1848.04</v>
      </c>
      <c r="AV235" s="343">
        <f t="shared" si="32"/>
        <v>1822.1399999999996</v>
      </c>
      <c r="AW235" s="343">
        <f t="shared" si="32"/>
        <v>1827.1399999999999</v>
      </c>
      <c r="AX235" s="343">
        <f t="shared" si="32"/>
        <v>1807.14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3">C220</f>
        <v>0.64</v>
      </c>
      <c r="C256" s="346">
        <f t="shared" si="33"/>
        <v>0.64</v>
      </c>
      <c r="D256" s="346">
        <f t="shared" si="33"/>
        <v>0.64</v>
      </c>
      <c r="E256" s="346">
        <f t="shared" si="33"/>
        <v>0.64</v>
      </c>
      <c r="F256" s="346">
        <f t="shared" si="33"/>
        <v>0.64</v>
      </c>
      <c r="G256" s="346">
        <f t="shared" si="33"/>
        <v>0.64</v>
      </c>
      <c r="H256" s="346">
        <f t="shared" si="33"/>
        <v>0.64</v>
      </c>
      <c r="I256" s="346">
        <f t="shared" si="33"/>
        <v>0.64</v>
      </c>
      <c r="J256" s="346">
        <f t="shared" si="33"/>
        <v>0.64</v>
      </c>
      <c r="K256" s="346">
        <f t="shared" si="33"/>
        <v>0.64</v>
      </c>
      <c r="L256" s="346">
        <f t="shared" si="33"/>
        <v>0.64</v>
      </c>
      <c r="M256" s="346">
        <f t="shared" si="33"/>
        <v>0.64</v>
      </c>
      <c r="N256" s="346">
        <f t="shared" si="33"/>
        <v>0.64</v>
      </c>
      <c r="O256" s="346">
        <f t="shared" si="33"/>
        <v>0.64</v>
      </c>
      <c r="P256" s="346">
        <f t="shared" si="33"/>
        <v>0</v>
      </c>
      <c r="Q256" s="346">
        <f t="shared" si="33"/>
        <v>0</v>
      </c>
      <c r="R256" s="346">
        <f t="shared" si="33"/>
        <v>0</v>
      </c>
      <c r="S256" s="346">
        <f t="shared" si="33"/>
        <v>0</v>
      </c>
      <c r="T256" s="346">
        <f t="shared" si="33"/>
        <v>0</v>
      </c>
      <c r="U256" s="346">
        <f t="shared" si="33"/>
        <v>0</v>
      </c>
      <c r="V256" s="346">
        <f t="shared" si="33"/>
        <v>0</v>
      </c>
      <c r="W256" s="346">
        <f t="shared" si="33"/>
        <v>0</v>
      </c>
      <c r="X256" s="346">
        <f t="shared" si="33"/>
        <v>0</v>
      </c>
      <c r="Y256" s="346">
        <f t="shared" si="33"/>
        <v>0</v>
      </c>
      <c r="Z256" s="346">
        <f t="shared" si="33"/>
        <v>0</v>
      </c>
      <c r="AA256" s="346">
        <f t="shared" si="33"/>
        <v>0</v>
      </c>
      <c r="AB256" s="346">
        <f t="shared" si="33"/>
        <v>0</v>
      </c>
      <c r="AC256" s="346">
        <f t="shared" si="33"/>
        <v>0</v>
      </c>
      <c r="AD256" s="346">
        <f t="shared" si="33"/>
        <v>0</v>
      </c>
      <c r="AE256" s="346">
        <f t="shared" si="33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4">IF(C224&lt;100,"",C224-520)</f>
        <v/>
      </c>
      <c r="D257" s="347" t="str">
        <f t="shared" si="34"/>
        <v/>
      </c>
      <c r="E257" s="347" t="str">
        <f t="shared" si="34"/>
        <v/>
      </c>
      <c r="F257" s="347" t="str">
        <f t="shared" si="34"/>
        <v/>
      </c>
      <c r="G257" s="347" t="str">
        <f t="shared" si="34"/>
        <v/>
      </c>
      <c r="H257" s="347" t="str">
        <f t="shared" si="34"/>
        <v/>
      </c>
      <c r="I257" s="347" t="str">
        <f t="shared" si="34"/>
        <v/>
      </c>
      <c r="J257" s="347" t="str">
        <f t="shared" si="34"/>
        <v/>
      </c>
      <c r="K257" s="347" t="str">
        <f t="shared" si="34"/>
        <v/>
      </c>
      <c r="L257" s="347" t="str">
        <f t="shared" si="34"/>
        <v/>
      </c>
      <c r="M257" s="347" t="str">
        <f t="shared" si="34"/>
        <v/>
      </c>
      <c r="N257" s="347" t="str">
        <f t="shared" si="34"/>
        <v/>
      </c>
      <c r="O257" s="347" t="str">
        <f t="shared" si="34"/>
        <v/>
      </c>
      <c r="P257" s="347" t="str">
        <f t="shared" si="34"/>
        <v/>
      </c>
      <c r="Q257" s="347" t="str">
        <f t="shared" si="34"/>
        <v/>
      </c>
      <c r="R257" s="347" t="str">
        <f t="shared" si="34"/>
        <v/>
      </c>
      <c r="S257" s="347" t="str">
        <f t="shared" si="34"/>
        <v/>
      </c>
      <c r="T257" s="347" t="str">
        <f t="shared" si="34"/>
        <v/>
      </c>
      <c r="U257" s="347" t="str">
        <f t="shared" si="34"/>
        <v/>
      </c>
      <c r="V257" s="347" t="str">
        <f t="shared" si="34"/>
        <v/>
      </c>
      <c r="W257" s="347" t="str">
        <f t="shared" si="34"/>
        <v/>
      </c>
      <c r="X257" s="347" t="str">
        <f t="shared" si="34"/>
        <v/>
      </c>
      <c r="Y257" s="347" t="str">
        <f t="shared" si="34"/>
        <v/>
      </c>
      <c r="Z257" s="347" t="str">
        <f t="shared" si="34"/>
        <v/>
      </c>
      <c r="AA257" s="347" t="str">
        <f t="shared" si="34"/>
        <v/>
      </c>
      <c r="AB257" s="347" t="str">
        <f t="shared" si="34"/>
        <v/>
      </c>
      <c r="AC257" s="347" t="str">
        <f t="shared" si="34"/>
        <v/>
      </c>
      <c r="AD257" s="347" t="str">
        <f t="shared" si="34"/>
        <v/>
      </c>
      <c r="AE257" s="347" t="str">
        <f t="shared" si="34"/>
        <v/>
      </c>
      <c r="AF257" s="347" t="str">
        <f t="shared" si="34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5">IF(B225&lt;100,"",B225-620)</f>
        <v/>
      </c>
      <c r="C258" s="347" t="str">
        <f t="shared" si="35"/>
        <v/>
      </c>
      <c r="D258" s="347" t="str">
        <f t="shared" si="35"/>
        <v/>
      </c>
      <c r="E258" s="347" t="str">
        <f t="shared" si="35"/>
        <v/>
      </c>
      <c r="F258" s="347" t="str">
        <f t="shared" si="35"/>
        <v/>
      </c>
      <c r="G258" s="347" t="str">
        <f t="shared" si="35"/>
        <v/>
      </c>
      <c r="H258" s="347" t="str">
        <f t="shared" si="35"/>
        <v/>
      </c>
      <c r="I258" s="347" t="str">
        <f t="shared" si="35"/>
        <v/>
      </c>
      <c r="J258" s="347" t="str">
        <f t="shared" si="35"/>
        <v/>
      </c>
      <c r="K258" s="347" t="str">
        <f t="shared" si="35"/>
        <v/>
      </c>
      <c r="L258" s="347" t="str">
        <f t="shared" si="35"/>
        <v/>
      </c>
      <c r="M258" s="347" t="str">
        <f t="shared" si="35"/>
        <v/>
      </c>
      <c r="N258" s="347" t="str">
        <f t="shared" si="35"/>
        <v/>
      </c>
      <c r="O258" s="347" t="str">
        <f t="shared" si="35"/>
        <v/>
      </c>
      <c r="P258" s="347" t="str">
        <f t="shared" si="35"/>
        <v/>
      </c>
      <c r="Q258" s="347" t="str">
        <f t="shared" si="35"/>
        <v/>
      </c>
      <c r="R258" s="347" t="str">
        <f t="shared" si="35"/>
        <v/>
      </c>
      <c r="S258" s="347" t="str">
        <f t="shared" si="35"/>
        <v/>
      </c>
      <c r="T258" s="347" t="str">
        <f t="shared" si="35"/>
        <v/>
      </c>
      <c r="U258" s="347" t="str">
        <f t="shared" si="35"/>
        <v/>
      </c>
      <c r="V258" s="347" t="str">
        <f t="shared" si="35"/>
        <v/>
      </c>
      <c r="W258" s="347" t="str">
        <f t="shared" si="35"/>
        <v/>
      </c>
      <c r="X258" s="347" t="str">
        <f t="shared" si="35"/>
        <v/>
      </c>
      <c r="Y258" s="347" t="str">
        <f t="shared" si="35"/>
        <v/>
      </c>
      <c r="Z258" s="347" t="str">
        <f t="shared" si="35"/>
        <v/>
      </c>
      <c r="AA258" s="347" t="str">
        <f t="shared" si="35"/>
        <v/>
      </c>
      <c r="AB258" s="347" t="str">
        <f t="shared" si="35"/>
        <v/>
      </c>
      <c r="AC258" s="347" t="str">
        <f t="shared" si="35"/>
        <v/>
      </c>
      <c r="AD258" s="347" t="str">
        <f t="shared" si="35"/>
        <v/>
      </c>
      <c r="AE258" s="347" t="str">
        <f t="shared" si="35"/>
        <v/>
      </c>
      <c r="AF258" s="347" t="str">
        <f t="shared" si="35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6">IF(B226&lt;100,"",B226-330)</f>
        <v/>
      </c>
      <c r="C259" s="347" t="str">
        <f t="shared" si="36"/>
        <v/>
      </c>
      <c r="D259" s="347" t="str">
        <f t="shared" si="36"/>
        <v/>
      </c>
      <c r="E259" s="347" t="str">
        <f t="shared" si="36"/>
        <v/>
      </c>
      <c r="F259" s="347" t="str">
        <f t="shared" si="36"/>
        <v/>
      </c>
      <c r="G259" s="347" t="str">
        <f t="shared" si="36"/>
        <v/>
      </c>
      <c r="H259" s="347" t="str">
        <f t="shared" si="36"/>
        <v/>
      </c>
      <c r="I259" s="347" t="str">
        <f t="shared" si="36"/>
        <v/>
      </c>
      <c r="J259" s="347" t="str">
        <f t="shared" si="36"/>
        <v/>
      </c>
      <c r="K259" s="347" t="str">
        <f t="shared" si="36"/>
        <v/>
      </c>
      <c r="L259" s="347" t="str">
        <f t="shared" si="36"/>
        <v/>
      </c>
      <c r="M259" s="347" t="str">
        <f t="shared" si="36"/>
        <v/>
      </c>
      <c r="N259" s="347" t="str">
        <f t="shared" si="36"/>
        <v/>
      </c>
      <c r="O259" s="347" t="str">
        <f t="shared" si="36"/>
        <v/>
      </c>
      <c r="P259" s="347" t="str">
        <f t="shared" si="36"/>
        <v/>
      </c>
      <c r="Q259" s="347" t="str">
        <f t="shared" si="36"/>
        <v/>
      </c>
      <c r="R259" s="347" t="str">
        <f t="shared" si="36"/>
        <v/>
      </c>
      <c r="S259" s="347" t="str">
        <f t="shared" si="36"/>
        <v/>
      </c>
      <c r="T259" s="347" t="str">
        <f t="shared" si="36"/>
        <v/>
      </c>
      <c r="U259" s="347" t="str">
        <f t="shared" si="36"/>
        <v/>
      </c>
      <c r="V259" s="347" t="str">
        <f t="shared" si="36"/>
        <v/>
      </c>
      <c r="W259" s="347" t="str">
        <f t="shared" si="36"/>
        <v/>
      </c>
      <c r="X259" s="347" t="str">
        <f t="shared" si="36"/>
        <v/>
      </c>
      <c r="Y259" s="347" t="str">
        <f t="shared" si="36"/>
        <v/>
      </c>
      <c r="Z259" s="347" t="str">
        <f t="shared" si="36"/>
        <v/>
      </c>
      <c r="AA259" s="347" t="str">
        <f t="shared" si="36"/>
        <v/>
      </c>
      <c r="AB259" s="347" t="str">
        <f t="shared" si="36"/>
        <v/>
      </c>
      <c r="AC259" s="347" t="str">
        <f t="shared" si="36"/>
        <v/>
      </c>
      <c r="AD259" s="347" t="str">
        <f t="shared" si="36"/>
        <v/>
      </c>
      <c r="AE259" s="347" t="str">
        <f t="shared" si="36"/>
        <v/>
      </c>
      <c r="AF259" s="347" t="str">
        <f t="shared" si="36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7">IF(C227&lt;100,"",C227-1500)</f>
        <v/>
      </c>
      <c r="D260" s="347" t="str">
        <f t="shared" si="37"/>
        <v/>
      </c>
      <c r="E260" s="347" t="str">
        <f t="shared" si="37"/>
        <v/>
      </c>
      <c r="F260" s="347" t="str">
        <f t="shared" si="37"/>
        <v/>
      </c>
      <c r="G260" s="347" t="str">
        <f t="shared" si="37"/>
        <v/>
      </c>
      <c r="H260" s="347" t="str">
        <f t="shared" si="37"/>
        <v/>
      </c>
      <c r="I260" s="347" t="str">
        <f t="shared" si="37"/>
        <v/>
      </c>
      <c r="J260" s="347" t="str">
        <f t="shared" si="37"/>
        <v/>
      </c>
      <c r="K260" s="347" t="str">
        <f t="shared" si="37"/>
        <v/>
      </c>
      <c r="L260" s="347" t="str">
        <f t="shared" si="37"/>
        <v/>
      </c>
      <c r="M260" s="347" t="str">
        <f t="shared" si="37"/>
        <v/>
      </c>
      <c r="N260" s="347" t="str">
        <f t="shared" si="37"/>
        <v/>
      </c>
      <c r="O260" s="347" t="str">
        <f t="shared" si="37"/>
        <v/>
      </c>
      <c r="P260" s="347" t="str">
        <f t="shared" si="37"/>
        <v/>
      </c>
      <c r="Q260" s="347" t="str">
        <f t="shared" si="37"/>
        <v/>
      </c>
      <c r="R260" s="347" t="str">
        <f t="shared" si="37"/>
        <v/>
      </c>
      <c r="S260" s="347" t="str">
        <f t="shared" si="37"/>
        <v/>
      </c>
      <c r="T260" s="347" t="str">
        <f t="shared" si="37"/>
        <v/>
      </c>
      <c r="U260" s="347" t="str">
        <f t="shared" si="37"/>
        <v/>
      </c>
      <c r="V260" s="347" t="str">
        <f t="shared" si="37"/>
        <v/>
      </c>
      <c r="W260" s="347" t="str">
        <f t="shared" si="37"/>
        <v/>
      </c>
      <c r="X260" s="347" t="str">
        <f t="shared" si="37"/>
        <v/>
      </c>
      <c r="Y260" s="347" t="str">
        <f t="shared" si="37"/>
        <v/>
      </c>
      <c r="Z260" s="347" t="str">
        <f t="shared" si="37"/>
        <v/>
      </c>
      <c r="AA260" s="347" t="str">
        <f t="shared" si="37"/>
        <v/>
      </c>
      <c r="AB260" s="347" t="str">
        <f t="shared" si="37"/>
        <v/>
      </c>
      <c r="AC260" s="347" t="str">
        <f t="shared" si="37"/>
        <v/>
      </c>
      <c r="AD260" s="347" t="str">
        <f t="shared" si="37"/>
        <v/>
      </c>
      <c r="AE260" s="347" t="str">
        <f t="shared" si="37"/>
        <v/>
      </c>
      <c r="AF260" s="347" t="str">
        <f t="shared" si="37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7012" priority="233">
      <formula>B$9&gt;=20/24</formula>
    </cfRule>
    <cfRule type="expression" dxfId="7011" priority="234">
      <formula>AND(B$9&gt;=14/24,B$9&lt;20/24)</formula>
    </cfRule>
    <cfRule type="expression" dxfId="7010" priority="235">
      <formula>AND(B$9&gt;=8/24,B$9&lt;14/24)</formula>
    </cfRule>
    <cfRule type="expression" dxfId="7009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7008" priority="228">
      <formula>T$9&gt;=20/24</formula>
    </cfRule>
    <cfRule type="expression" dxfId="7007" priority="229">
      <formula>AND(T$9&gt;=14/24,T$9&lt;20/24)</formula>
    </cfRule>
    <cfRule type="expression" dxfId="7006" priority="230">
      <formula>AND(T$9&gt;=8/24,T$9&lt;14/24)</formula>
    </cfRule>
    <cfRule type="expression" dxfId="7005" priority="231">
      <formula>T$9&lt;8/24</formula>
    </cfRule>
  </conditionalFormatting>
  <conditionalFormatting sqref="AG55 B12:Z16 T37:AF37 AA11:AF16 B35:AF35">
    <cfRule type="expression" dxfId="7004" priority="227">
      <formula>B11&gt;$AG11</formula>
    </cfRule>
  </conditionalFormatting>
  <conditionalFormatting sqref="A89:A102 A11:A14 A49:A76 A85:A87 A191:A221 A16:A30 A36:A47 A107:A178 A32:A33 A81:A83 A78:A79">
    <cfRule type="expression" dxfId="7003" priority="226">
      <formula>$AH11=0</formula>
    </cfRule>
  </conditionalFormatting>
  <conditionalFormatting sqref="A103">
    <cfRule type="expression" dxfId="7002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7001" priority="223">
      <formula>$AH35=0</formula>
    </cfRule>
  </conditionalFormatting>
  <conditionalFormatting sqref="A88">
    <cfRule type="expression" dxfId="7000" priority="222">
      <formula>$AH88=0</formula>
    </cfRule>
  </conditionalFormatting>
  <conditionalFormatting sqref="A15">
    <cfRule type="expression" dxfId="6999" priority="221">
      <formula>$AH15=0</formula>
    </cfRule>
  </conditionalFormatting>
  <conditionalFormatting sqref="A185:A190">
    <cfRule type="expression" dxfId="6998" priority="220">
      <formula>$AH185=0</formula>
    </cfRule>
  </conditionalFormatting>
  <conditionalFormatting sqref="A179:A184">
    <cfRule type="expression" dxfId="6997" priority="219">
      <formula>$AH179=0</formula>
    </cfRule>
  </conditionalFormatting>
  <conditionalFormatting sqref="A48">
    <cfRule type="expression" dxfId="6996" priority="218">
      <formula>$AH48=0</formula>
    </cfRule>
  </conditionalFormatting>
  <conditionalFormatting sqref="A84">
    <cfRule type="expression" dxfId="6995" priority="217">
      <formula>$AH84=0</formula>
    </cfRule>
  </conditionalFormatting>
  <conditionalFormatting sqref="C89:AF89">
    <cfRule type="expression" dxfId="6994" priority="213">
      <formula>C$9&gt;=20/24</formula>
    </cfRule>
    <cfRule type="expression" dxfId="6993" priority="214">
      <formula>AND(C$9&gt;=14/24,C$9&lt;20/24)</formula>
    </cfRule>
    <cfRule type="expression" dxfId="6992" priority="215">
      <formula>AND(C$9&gt;=8/24,C$9&lt;14/24)</formula>
    </cfRule>
    <cfRule type="expression" dxfId="6991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90" priority="239">
      <formula>C$9&gt;=20/24</formula>
    </cfRule>
    <cfRule type="expression" dxfId="6989" priority="240">
      <formula>AND(C$9&gt;=14/24,C$9&lt;20/24)</formula>
    </cfRule>
    <cfRule type="expression" dxfId="6988" priority="241">
      <formula>AND(C$9&gt;=8/24,C$9&lt;14/24)</formula>
    </cfRule>
    <cfRule type="expression" dxfId="6987" priority="242">
      <formula>C$9&lt;8/24</formula>
    </cfRule>
  </conditionalFormatting>
  <conditionalFormatting sqref="A222">
    <cfRule type="expression" dxfId="6986" priority="243">
      <formula>$AH222=0</formula>
    </cfRule>
  </conditionalFormatting>
  <conditionalFormatting sqref="AG234">
    <cfRule type="expression" dxfId="6985" priority="244">
      <formula>B$9&gt;=20/24</formula>
    </cfRule>
    <cfRule type="expression" dxfId="6984" priority="245">
      <formula>AND(B$9&gt;=14/24,B$9&lt;20/24)</formula>
    </cfRule>
    <cfRule type="expression" dxfId="6983" priority="246">
      <formula>AND(B$9&gt;=8/24,B$9&lt;14/24)</formula>
    </cfRule>
    <cfRule type="expression" dxfId="6982" priority="247">
      <formula>B$9&lt;8/24</formula>
    </cfRule>
  </conditionalFormatting>
  <conditionalFormatting sqref="S8">
    <cfRule type="expression" dxfId="6981" priority="208">
      <formula>U$9&gt;=20/24</formula>
    </cfRule>
    <cfRule type="expression" dxfId="6980" priority="209">
      <formula>AND(U$9&gt;=14/24,U$9&lt;20/24)</formula>
    </cfRule>
    <cfRule type="expression" dxfId="6979" priority="210">
      <formula>AND(U$9&gt;=8/24,U$9&lt;14/24)</formula>
    </cfRule>
    <cfRule type="expression" dxfId="6978" priority="211">
      <formula>U$9&lt;8/24</formula>
    </cfRule>
  </conditionalFormatting>
  <conditionalFormatting sqref="AB8">
    <cfRule type="expression" dxfId="6977" priority="204">
      <formula>AD$9&gt;=20/24</formula>
    </cfRule>
    <cfRule type="expression" dxfId="6976" priority="205">
      <formula>AND(AD$9&gt;=14/24,AD$9&lt;20/24)</formula>
    </cfRule>
    <cfRule type="expression" dxfId="6975" priority="206">
      <formula>AND(AD$9&gt;=8/24,AD$9&lt;14/24)</formula>
    </cfRule>
    <cfRule type="expression" dxfId="6974" priority="207">
      <formula>AD$9&lt;8/24</formula>
    </cfRule>
  </conditionalFormatting>
  <conditionalFormatting sqref="AH234:AX234">
    <cfRule type="expression" dxfId="6973" priority="248">
      <formula>AG$9&gt;=20/24</formula>
    </cfRule>
    <cfRule type="expression" dxfId="6972" priority="249">
      <formula>AND(AG$9&gt;=14/24,AG$9&lt;20/24)</formula>
    </cfRule>
    <cfRule type="expression" dxfId="6971" priority="250">
      <formula>AND(AG$9&gt;=8/24,AG$9&lt;14/24)</formula>
    </cfRule>
    <cfRule type="expression" dxfId="6970" priority="251">
      <formula>AG$9&lt;8/24</formula>
    </cfRule>
  </conditionalFormatting>
  <conditionalFormatting sqref="T234">
    <cfRule type="expression" dxfId="6969" priority="252">
      <formula>AX$9&gt;=20/24</formula>
    </cfRule>
    <cfRule type="expression" dxfId="6968" priority="253">
      <formula>AND(AX$9&gt;=14/24,AX$9&lt;20/24)</formula>
    </cfRule>
    <cfRule type="expression" dxfId="6967" priority="254">
      <formula>AND(AX$9&gt;=8/24,AX$9&lt;14/24)</formula>
    </cfRule>
    <cfRule type="expression" dxfId="6966" priority="255">
      <formula>AX$9&lt;8/24</formula>
    </cfRule>
  </conditionalFormatting>
  <conditionalFormatting sqref="A104:A105">
    <cfRule type="expression" dxfId="6965" priority="203">
      <formula>$AH104=0</formula>
    </cfRule>
  </conditionalFormatting>
  <conditionalFormatting sqref="D61:AF61 U44:AF45 AA36:AF36">
    <cfRule type="expression" dxfId="6964" priority="199">
      <formula>D$9&gt;=20/24</formula>
    </cfRule>
    <cfRule type="expression" dxfId="6963" priority="200">
      <formula>AND(D$9&gt;=14/24,D$9&lt;20/24)</formula>
    </cfRule>
    <cfRule type="expression" dxfId="6962" priority="201">
      <formula>AND(D$9&gt;=8/24,D$9&lt;14/24)</formula>
    </cfRule>
    <cfRule type="expression" dxfId="6961" priority="202">
      <formula>D$9&lt;8/24</formula>
    </cfRule>
  </conditionalFormatting>
  <conditionalFormatting sqref="U43:AF43">
    <cfRule type="expression" dxfId="6960" priority="195">
      <formula>U$9&gt;=20/24</formula>
    </cfRule>
    <cfRule type="expression" dxfId="6959" priority="196">
      <formula>AND(U$9&gt;=14/24,U$9&lt;20/24)</formula>
    </cfRule>
    <cfRule type="expression" dxfId="6958" priority="197">
      <formula>AND(U$9&gt;=8/24,U$9&lt;14/24)</formula>
    </cfRule>
    <cfRule type="expression" dxfId="6957" priority="198">
      <formula>U$9&lt;8/24</formula>
    </cfRule>
  </conditionalFormatting>
  <conditionalFormatting sqref="U43:AF45 AA36:AF36">
    <cfRule type="expression" dxfId="6956" priority="194">
      <formula>U36&gt;$AG36</formula>
    </cfRule>
  </conditionalFormatting>
  <conditionalFormatting sqref="C86:AF86 O37:S37 D62:T65 AA62:AF71 U14:Z14 T25:Z25 I57:AF59 U62:Z66 C73:AF76 D90:AF96 AA16:AF16 AA28:AF30 AA18:AF22 AA32:AF32 AA24:AF26 AA12:AF14">
    <cfRule type="expression" dxfId="6955" priority="190">
      <formula>C$9&gt;=20/24</formula>
    </cfRule>
    <cfRule type="expression" dxfId="6954" priority="191">
      <formula>AND(C$9&gt;=14/24,C$9&lt;20/24)</formula>
    </cfRule>
    <cfRule type="expression" dxfId="6953" priority="192">
      <formula>AND(C$9&gt;=8/24,C$9&lt;14/24)</formula>
    </cfRule>
    <cfRule type="expression" dxfId="6952" priority="193">
      <formula>C$9&lt;8/24</formula>
    </cfRule>
  </conditionalFormatting>
  <conditionalFormatting sqref="AA33:AF33">
    <cfRule type="expression" dxfId="6951" priority="186">
      <formula>AA$9&gt;=20/24</formula>
    </cfRule>
    <cfRule type="expression" dxfId="6950" priority="187">
      <formula>AND(AA$9&gt;=14/24,AA$9&lt;20/24)</formula>
    </cfRule>
    <cfRule type="expression" dxfId="6949" priority="188">
      <formula>AND(AA$9&gt;=8/24,AA$9&lt;14/24)</formula>
    </cfRule>
    <cfRule type="expression" dxfId="6948" priority="189">
      <formula>AA$9&lt;8/24</formula>
    </cfRule>
  </conditionalFormatting>
  <conditionalFormatting sqref="AD46:AF47 C55:AF55 C37:S37 T25:Z25 I57:AF59 AA18:AF22 AA32:AF33 AA24:AF30">
    <cfRule type="expression" dxfId="6947" priority="185">
      <formula>C18&gt;$AG18</formula>
    </cfRule>
  </conditionalFormatting>
  <conditionalFormatting sqref="AA35:AF35">
    <cfRule type="expression" dxfId="6946" priority="181">
      <formula>AA$9&gt;=20/24</formula>
    </cfRule>
    <cfRule type="expression" dxfId="6945" priority="182">
      <formula>AND(AA$9&gt;=14/24,AA$9&lt;20/24)</formula>
    </cfRule>
    <cfRule type="expression" dxfId="6944" priority="183">
      <formula>AND(AA$9&gt;=8/24,AA$9&lt;14/24)</formula>
    </cfRule>
    <cfRule type="expression" dxfId="6943" priority="184">
      <formula>AA$9&lt;8/24</formula>
    </cfRule>
  </conditionalFormatting>
  <conditionalFormatting sqref="AA15:AF15">
    <cfRule type="expression" dxfId="6942" priority="177">
      <formula>AA$9&gt;=20/24</formula>
    </cfRule>
    <cfRule type="expression" dxfId="6941" priority="178">
      <formula>AND(AA$9&gt;=14/24,AA$9&lt;20/24)</formula>
    </cfRule>
    <cfRule type="expression" dxfId="6940" priority="179">
      <formula>AND(AA$9&gt;=8/24,AA$9&lt;14/24)</formula>
    </cfRule>
    <cfRule type="expression" dxfId="6939" priority="180">
      <formula>AA$9&lt;8/24</formula>
    </cfRule>
  </conditionalFormatting>
  <conditionalFormatting sqref="AA34:AF34">
    <cfRule type="expression" dxfId="6938" priority="173">
      <formula>AA$9&gt;=20/24</formula>
    </cfRule>
    <cfRule type="expression" dxfId="6937" priority="174">
      <formula>AND(AA$9&gt;=14/24,AA$9&lt;20/24)</formula>
    </cfRule>
    <cfRule type="expression" dxfId="6936" priority="175">
      <formula>AND(AA$9&gt;=8/24,AA$9&lt;14/24)</formula>
    </cfRule>
    <cfRule type="expression" dxfId="6935" priority="176">
      <formula>AA$9&lt;8/24</formula>
    </cfRule>
  </conditionalFormatting>
  <conditionalFormatting sqref="AA34:AF34">
    <cfRule type="expression" dxfId="6934" priority="172">
      <formula>AA34&gt;$AG34</formula>
    </cfRule>
  </conditionalFormatting>
  <conditionalFormatting sqref="AD48:AF54 AA46:AC47">
    <cfRule type="expression" dxfId="6933" priority="164">
      <formula>AA$9&gt;=20/24</formula>
    </cfRule>
    <cfRule type="expression" dxfId="6932" priority="165">
      <formula>AND(AA$9&gt;=14/24,AA$9&lt;20/24)</formula>
    </cfRule>
    <cfRule type="expression" dxfId="6931" priority="166">
      <formula>AND(AA$9&gt;=8/24,AA$9&lt;14/24)</formula>
    </cfRule>
    <cfRule type="expression" dxfId="6930" priority="167">
      <formula>AA$9&lt;8/24</formula>
    </cfRule>
  </conditionalFormatting>
  <conditionalFormatting sqref="AD48:AF54 AA46:AC47">
    <cfRule type="expression" dxfId="6929" priority="163">
      <formula>AA46&gt;$AG46</formula>
    </cfRule>
  </conditionalFormatting>
  <conditionalFormatting sqref="U46:Z48 AA48:AC54">
    <cfRule type="expression" dxfId="6928" priority="159">
      <formula>U$9&gt;=20/24</formula>
    </cfRule>
    <cfRule type="expression" dxfId="6927" priority="160">
      <formula>AND(U$9&gt;=14/24,U$9&lt;20/24)</formula>
    </cfRule>
    <cfRule type="expression" dxfId="6926" priority="161">
      <formula>AND(U$9&gt;=8/24,U$9&lt;14/24)</formula>
    </cfRule>
    <cfRule type="expression" dxfId="6925" priority="162">
      <formula>U$9&lt;8/24</formula>
    </cfRule>
  </conditionalFormatting>
  <conditionalFormatting sqref="U46:Z48 AA48:AC54">
    <cfRule type="expression" dxfId="6924" priority="158">
      <formula>U46&gt;$AG46</formula>
    </cfRule>
  </conditionalFormatting>
  <conditionalFormatting sqref="AA27:AF27">
    <cfRule type="expression" dxfId="6923" priority="154">
      <formula>AA$9&gt;=20/24</formula>
    </cfRule>
    <cfRule type="expression" dxfId="6922" priority="155">
      <formula>AND(AA$9&gt;=14/24,AA$9&lt;20/24)</formula>
    </cfRule>
    <cfRule type="expression" dxfId="6921" priority="156">
      <formula>AND(AA$9&gt;=8/24,AA$9&lt;14/24)</formula>
    </cfRule>
    <cfRule type="expression" dxfId="6920" priority="157">
      <formula>AA$9&lt;8/24</formula>
    </cfRule>
  </conditionalFormatting>
  <conditionalFormatting sqref="AA17:AF17 AA23:AF23">
    <cfRule type="expression" dxfId="6919" priority="150">
      <formula>AA$9&gt;=20/24</formula>
    </cfRule>
    <cfRule type="expression" dxfId="6918" priority="151">
      <formula>AND(AA$9&gt;=14/24,AA$9&lt;20/24)</formula>
    </cfRule>
    <cfRule type="expression" dxfId="6917" priority="152">
      <formula>AND(AA$9&gt;=8/24,AA$9&lt;14/24)</formula>
    </cfRule>
    <cfRule type="expression" dxfId="6916" priority="153">
      <formula>AA$9&lt;8/24</formula>
    </cfRule>
  </conditionalFormatting>
  <conditionalFormatting sqref="AA17:AF17 AA23:AF23">
    <cfRule type="expression" dxfId="6915" priority="145">
      <formula>AA17&gt;$AG17</formula>
    </cfRule>
  </conditionalFormatting>
  <conditionalFormatting sqref="B99:B105 B78:AF78 B87:AF87 B11:Z11">
    <cfRule type="expression" dxfId="6914" priority="100">
      <formula>B$9&gt;=20/24</formula>
    </cfRule>
    <cfRule type="expression" dxfId="6913" priority="101">
      <formula>AND(B$9&gt;=14/24,B$9&lt;20/24)</formula>
    </cfRule>
    <cfRule type="expression" dxfId="6912" priority="102">
      <formula>AND(B$9&gt;=8/24,B$9&lt;14/24)</formula>
    </cfRule>
    <cfRule type="expression" dxfId="6911" priority="103">
      <formula>B$9&lt;8/24</formula>
    </cfRule>
  </conditionalFormatting>
  <conditionalFormatting sqref="B37">
    <cfRule type="expression" dxfId="6910" priority="96">
      <formula>B$9&gt;=20/24</formula>
    </cfRule>
    <cfRule type="expression" dxfId="6909" priority="97">
      <formula>AND(B$9&gt;=14/24,B$9&lt;20/24)</formula>
    </cfRule>
    <cfRule type="expression" dxfId="6908" priority="98">
      <formula>AND(B$9&gt;=8/24,B$9&lt;14/24)</formula>
    </cfRule>
    <cfRule type="expression" dxfId="6907" priority="99">
      <formula>B$9&lt;8/24</formula>
    </cfRule>
  </conditionalFormatting>
  <conditionalFormatting sqref="B37 B11:Z11">
    <cfRule type="expression" dxfId="6906" priority="95">
      <formula>B11&gt;$AG11</formula>
    </cfRule>
  </conditionalFormatting>
  <conditionalFormatting sqref="B89">
    <cfRule type="expression" dxfId="6905" priority="91">
      <formula>B$9&gt;=20/24</formula>
    </cfRule>
    <cfRule type="expression" dxfId="6904" priority="92">
      <formula>AND(B$9&gt;=14/24,B$9&lt;20/24)</formula>
    </cfRule>
    <cfRule type="expression" dxfId="6903" priority="93">
      <formula>AND(B$9&gt;=8/24,B$9&lt;14/24)</formula>
    </cfRule>
    <cfRule type="expression" dxfId="6902" priority="94">
      <formula>B$9&lt;8/24</formula>
    </cfRule>
  </conditionalFormatting>
  <conditionalFormatting sqref="B61:C61 B44:T45 B36:Z36">
    <cfRule type="expression" dxfId="6901" priority="87">
      <formula>B$9&gt;=20/24</formula>
    </cfRule>
    <cfRule type="expression" dxfId="6900" priority="88">
      <formula>AND(B$9&gt;=14/24,B$9&lt;20/24)</formula>
    </cfRule>
    <cfRule type="expression" dxfId="6899" priority="89">
      <formula>AND(B$9&gt;=8/24,B$9&lt;14/24)</formula>
    </cfRule>
    <cfRule type="expression" dxfId="6898" priority="90">
      <formula>B$9&lt;8/24</formula>
    </cfRule>
  </conditionalFormatting>
  <conditionalFormatting sqref="B43:T43">
    <cfRule type="expression" dxfId="6897" priority="83">
      <formula>B$9&gt;=20/24</formula>
    </cfRule>
    <cfRule type="expression" dxfId="6896" priority="84">
      <formula>AND(B$9&gt;=14/24,B$9&lt;20/24)</formula>
    </cfRule>
    <cfRule type="expression" dxfId="6895" priority="85">
      <formula>AND(B$9&gt;=8/24,B$9&lt;14/24)</formula>
    </cfRule>
    <cfRule type="expression" dxfId="6894" priority="86">
      <formula>B$9&lt;8/24</formula>
    </cfRule>
  </conditionalFormatting>
  <conditionalFormatting sqref="B43:T45 B36:Z36">
    <cfRule type="expression" dxfId="6893" priority="82">
      <formula>B36&gt;$AG36</formula>
    </cfRule>
  </conditionalFormatting>
  <conditionalFormatting sqref="B57:B60 B73:B77 B79:AF79 B86 C60:AG60 C77:AG77 B88:AF88 B62:C71 B90:C96 C57:H59 B24:S26 B12:T14 D66:T71 U12:Z13 T24:Z24 B16:Z16 B28:Z30 T26:Z26 B32:Z32 U67:Z71 B18:Z22">
    <cfRule type="expression" dxfId="6892" priority="78">
      <formula>B$9&gt;=20/24</formula>
    </cfRule>
    <cfRule type="expression" dxfId="6891" priority="79">
      <formula>AND(B$9&gt;=14/24,B$9&lt;20/24)</formula>
    </cfRule>
    <cfRule type="expression" dxfId="6890" priority="80">
      <formula>AND(B$9&gt;=8/24,B$9&lt;14/24)</formula>
    </cfRule>
    <cfRule type="expression" dxfId="6889" priority="81">
      <formula>B$9&lt;8/24</formula>
    </cfRule>
  </conditionalFormatting>
  <conditionalFormatting sqref="B33:Z33">
    <cfRule type="expression" dxfId="6888" priority="74">
      <formula>B$9&gt;=20/24</formula>
    </cfRule>
    <cfRule type="expression" dxfId="6887" priority="75">
      <formula>AND(B$9&gt;=14/24,B$9&lt;20/24)</formula>
    </cfRule>
    <cfRule type="expression" dxfId="6886" priority="76">
      <formula>AND(B$9&gt;=8/24,B$9&lt;14/24)</formula>
    </cfRule>
    <cfRule type="expression" dxfId="6885" priority="77">
      <formula>B$9&lt;8/24</formula>
    </cfRule>
  </conditionalFormatting>
  <conditionalFormatting sqref="B55:B60 B38:AG38 C56:AG56 C60:AG60 C57:H59 B47:L47 B24:S30 B46:T46 T24:Z24 T26:Z30 B32:Z33 B18:Z22">
    <cfRule type="expression" dxfId="6884" priority="73">
      <formula>B18&gt;$AG18</formula>
    </cfRule>
  </conditionalFormatting>
  <conditionalFormatting sqref="B35:Z35">
    <cfRule type="expression" dxfId="6883" priority="69">
      <formula>B$9&gt;=20/24</formula>
    </cfRule>
    <cfRule type="expression" dxfId="6882" priority="70">
      <formula>AND(B$9&gt;=14/24,B$9&lt;20/24)</formula>
    </cfRule>
    <cfRule type="expression" dxfId="6881" priority="71">
      <formula>AND(B$9&gt;=8/24,B$9&lt;14/24)</formula>
    </cfRule>
    <cfRule type="expression" dxfId="6880" priority="72">
      <formula>B$9&lt;8/24</formula>
    </cfRule>
  </conditionalFormatting>
  <conditionalFormatting sqref="B15:Z15">
    <cfRule type="expression" dxfId="6879" priority="65">
      <formula>B$9&gt;=20/24</formula>
    </cfRule>
    <cfRule type="expression" dxfId="6878" priority="66">
      <formula>AND(B$9&gt;=14/24,B$9&lt;20/24)</formula>
    </cfRule>
    <cfRule type="expression" dxfId="6877" priority="67">
      <formula>AND(B$9&gt;=8/24,B$9&lt;14/24)</formula>
    </cfRule>
    <cfRule type="expression" dxfId="6876" priority="68">
      <formula>B$9&lt;8/24</formula>
    </cfRule>
  </conditionalFormatting>
  <conditionalFormatting sqref="B34:Z34">
    <cfRule type="expression" dxfId="6875" priority="61">
      <formula>B$9&gt;=20/24</formula>
    </cfRule>
    <cfRule type="expression" dxfId="6874" priority="62">
      <formula>AND(B$9&gt;=14/24,B$9&lt;20/24)</formula>
    </cfRule>
    <cfRule type="expression" dxfId="6873" priority="63">
      <formula>AND(B$9&gt;=8/24,B$9&lt;14/24)</formula>
    </cfRule>
    <cfRule type="expression" dxfId="6872" priority="64">
      <formula>B$9&lt;8/24</formula>
    </cfRule>
  </conditionalFormatting>
  <conditionalFormatting sqref="B34:Z34">
    <cfRule type="expression" dxfId="6871" priority="60">
      <formula>B34&gt;$AG34</formula>
    </cfRule>
  </conditionalFormatting>
  <conditionalFormatting sqref="M47:R47 B48:R54 S47:T54 U49:Z54">
    <cfRule type="expression" dxfId="6870" priority="56">
      <formula>B$9&gt;=20/24</formula>
    </cfRule>
    <cfRule type="expression" dxfId="6869" priority="57">
      <formula>AND(B$9&gt;=14/24,B$9&lt;20/24)</formula>
    </cfRule>
    <cfRule type="expression" dxfId="6868" priority="58">
      <formula>AND(B$9&gt;=8/24,B$9&lt;14/24)</formula>
    </cfRule>
    <cfRule type="expression" dxfId="6867" priority="59">
      <formula>B$9&lt;8/24</formula>
    </cfRule>
  </conditionalFormatting>
  <conditionalFormatting sqref="M47:R47 B48:R54 S47:T54 U49:Z54">
    <cfRule type="expression" dxfId="6866" priority="55">
      <formula>B47&gt;$AG47</formula>
    </cfRule>
  </conditionalFormatting>
  <conditionalFormatting sqref="B27:Z27">
    <cfRule type="expression" dxfId="6865" priority="51">
      <formula>B$9&gt;=20/24</formula>
    </cfRule>
    <cfRule type="expression" dxfId="6864" priority="52">
      <formula>AND(B$9&gt;=14/24,B$9&lt;20/24)</formula>
    </cfRule>
    <cfRule type="expression" dxfId="6863" priority="53">
      <formula>AND(B$9&gt;=8/24,B$9&lt;14/24)</formula>
    </cfRule>
    <cfRule type="expression" dxfId="6862" priority="54">
      <formula>B$9&lt;8/24</formula>
    </cfRule>
  </conditionalFormatting>
  <conditionalFormatting sqref="B17:Z17 B23:Z23">
    <cfRule type="expression" dxfId="6861" priority="47">
      <formula>B$9&gt;=20/24</formula>
    </cfRule>
    <cfRule type="expression" dxfId="6860" priority="48">
      <formula>AND(B$9&gt;=14/24,B$9&lt;20/24)</formula>
    </cfRule>
    <cfRule type="expression" dxfId="6859" priority="49">
      <formula>AND(B$9&gt;=8/24,B$9&lt;14/24)</formula>
    </cfRule>
    <cfRule type="expression" dxfId="6858" priority="50">
      <formula>B$9&lt;8/24</formula>
    </cfRule>
  </conditionalFormatting>
  <conditionalFormatting sqref="B17:Z17 B23:Z23">
    <cfRule type="expression" dxfId="6857" priority="46">
      <formula>B17&gt;$AG17</formula>
    </cfRule>
  </conditionalFormatting>
  <conditionalFormatting sqref="A34">
    <cfRule type="expression" dxfId="6856" priority="45">
      <formula>$AH34=0</formula>
    </cfRule>
  </conditionalFormatting>
  <conditionalFormatting sqref="B72:AF72">
    <cfRule type="expression" dxfId="6855" priority="41">
      <formula>B$9&gt;=20/24</formula>
    </cfRule>
    <cfRule type="expression" dxfId="6854" priority="42">
      <formula>AND(B$9&gt;=14/24,B$9&lt;20/24)</formula>
    </cfRule>
    <cfRule type="expression" dxfId="6853" priority="43">
      <formula>AND(B$9&gt;=8/24,B$9&lt;14/24)</formula>
    </cfRule>
    <cfRule type="expression" dxfId="6852" priority="44">
      <formula>B$9&lt;8/24</formula>
    </cfRule>
  </conditionalFormatting>
  <conditionalFormatting sqref="B81:AF85">
    <cfRule type="expression" dxfId="6851" priority="37">
      <formula>B$9&gt;=20/24</formula>
    </cfRule>
    <cfRule type="expression" dxfId="6850" priority="38">
      <formula>AND(B$9&gt;=14/24,B$9&lt;20/24)</formula>
    </cfRule>
    <cfRule type="expression" dxfId="6849" priority="39">
      <formula>AND(B$9&gt;=8/24,B$9&lt;14/24)</formula>
    </cfRule>
    <cfRule type="expression" dxfId="6848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AC39:AF41">
    <cfRule type="expression" dxfId="6847" priority="33">
      <formula>AC$9&gt;=20/24</formula>
    </cfRule>
    <cfRule type="expression" dxfId="6846" priority="34">
      <formula>AND(AC$9&gt;=14/24,AC$9&lt;20/24)</formula>
    </cfRule>
    <cfRule type="expression" dxfId="6845" priority="35">
      <formula>AND(AC$9&gt;=8/24,AC$9&lt;14/24)</formula>
    </cfRule>
    <cfRule type="expression" dxfId="6844" priority="36">
      <formula>AC$9&lt;8/24</formula>
    </cfRule>
  </conditionalFormatting>
  <conditionalFormatting sqref="AC39:AF41">
    <cfRule type="expression" dxfId="6843" priority="32">
      <formula>AC39&gt;$AG39</formula>
    </cfRule>
  </conditionalFormatting>
  <conditionalFormatting sqref="B39:B42 C42:AG42 C39:AB41">
    <cfRule type="expression" dxfId="6842" priority="28">
      <formula>B$9&gt;=20/24</formula>
    </cfRule>
    <cfRule type="expression" dxfId="6841" priority="29">
      <formula>AND(B$9&gt;=14/24,B$9&lt;20/24)</formula>
    </cfRule>
    <cfRule type="expression" dxfId="6840" priority="30">
      <formula>AND(B$9&gt;=8/24,B$9&lt;14/24)</formula>
    </cfRule>
    <cfRule type="expression" dxfId="6839" priority="31">
      <formula>B$9&lt;8/24</formula>
    </cfRule>
  </conditionalFormatting>
  <conditionalFormatting sqref="B39:B42 C42:AG42 C39:AB41">
    <cfRule type="expression" dxfId="6838" priority="27">
      <formula>B39&gt;$AG39</formula>
    </cfRule>
  </conditionalFormatting>
  <conditionalFormatting sqref="C97:AF97">
    <cfRule type="expression" dxfId="6837" priority="23">
      <formula>C$9&gt;=20/24</formula>
    </cfRule>
    <cfRule type="expression" dxfId="6836" priority="24">
      <formula>AND(C$9&gt;=14/24,C$9&lt;20/24)</formula>
    </cfRule>
    <cfRule type="expression" dxfId="6835" priority="25">
      <formula>AND(C$9&gt;=8/24,C$9&lt;14/24)</formula>
    </cfRule>
    <cfRule type="expression" dxfId="6834" priority="26">
      <formula>C$9&lt;8/24</formula>
    </cfRule>
  </conditionalFormatting>
  <conditionalFormatting sqref="B97">
    <cfRule type="expression" dxfId="6833" priority="19">
      <formula>B$9&gt;=20/24</formula>
    </cfRule>
    <cfRule type="expression" dxfId="6832" priority="20">
      <formula>AND(B$9&gt;=14/24,B$9&lt;20/24)</formula>
    </cfRule>
    <cfRule type="expression" dxfId="6831" priority="21">
      <formula>AND(B$9&gt;=8/24,B$9&lt;14/24)</formula>
    </cfRule>
    <cfRule type="expression" dxfId="6830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6829" priority="12">
      <formula>$AH31=0</formula>
    </cfRule>
  </conditionalFormatting>
  <conditionalFormatting sqref="A80">
    <cfRule type="expression" dxfId="6828" priority="10">
      <formula>$AH80=0</formula>
    </cfRule>
  </conditionalFormatting>
  <conditionalFormatting sqref="A77">
    <cfRule type="expression" dxfId="6827" priority="11">
      <formula>$AH77=0</formula>
    </cfRule>
  </conditionalFormatting>
  <conditionalFormatting sqref="A106">
    <cfRule type="expression" dxfId="6826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60E8E10A-FBF5-4EFB-88D7-953D802BF9C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C9738BCA-17DA-44C1-BF9B-C56C8D8E45A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A668EC86-EF60-42A9-A60D-A3A8129EC02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597A9DAC-F064-4B3C-884F-670453B9915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5386B8F9-E8AC-4733-8831-3CFF29F6E0B5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087C1B1C-608B-4C8E-AD4C-59953D1E80B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073910DC-4F72-4505-B361-B02E971C463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C23FDBD3-30C8-48A1-AF00-5747854D9AD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F25CC2E3-6AAE-4435-A1B4-96849C204DA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4819560F-65D2-49BF-98FF-5C2AD3869B2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3A6D617A-5737-489F-941A-FA7283A360A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FB5AD744-60CA-47E5-8151-D8FF914E444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AF1B3BCD-5F95-491C-88F4-F5E0FE6C7A6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CJ494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A100" sqref="A100:XFD100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e">
        <f ca="1">"2079/"&amp;"02/"&amp;INT(MID(CELL("filename",D6),FIND("]",CELL("filename",D6))+1,200))</f>
        <v>#VALUE!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0</v>
      </c>
      <c r="AA5" s="205">
        <f t="shared" si="0"/>
        <v>0</v>
      </c>
      <c r="AB5" s="205">
        <f t="shared" si="0"/>
        <v>0</v>
      </c>
      <c r="AC5" s="205">
        <f t="shared" si="0"/>
        <v>0</v>
      </c>
      <c r="AD5" s="205">
        <f t="shared" si="0"/>
        <v>0</v>
      </c>
      <c r="AE5" s="205">
        <f t="shared" si="0"/>
        <v>0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4MW at 4:60hr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Load=4</v>
      </c>
      <c r="B7" s="210">
        <f>B79</f>
        <v>3.54</v>
      </c>
      <c r="C7" s="210">
        <f t="shared" ref="C7:AF7" si="1">C79</f>
        <v>3.54</v>
      </c>
      <c r="D7" s="210">
        <f t="shared" si="1"/>
        <v>3.54</v>
      </c>
      <c r="E7" s="210">
        <f t="shared" si="1"/>
        <v>3.54</v>
      </c>
      <c r="F7" s="210">
        <f t="shared" si="1"/>
        <v>3.54</v>
      </c>
      <c r="G7" s="210">
        <f t="shared" si="1"/>
        <v>3.54</v>
      </c>
      <c r="H7" s="210">
        <f t="shared" si="1"/>
        <v>3.54</v>
      </c>
      <c r="I7" s="210">
        <f t="shared" si="1"/>
        <v>3.54</v>
      </c>
      <c r="J7" s="210">
        <f t="shared" si="1"/>
        <v>3.54</v>
      </c>
      <c r="K7" s="210">
        <f t="shared" si="1"/>
        <v>3.54</v>
      </c>
      <c r="L7" s="210">
        <f t="shared" si="1"/>
        <v>3.54</v>
      </c>
      <c r="M7" s="210">
        <f t="shared" si="1"/>
        <v>3.54</v>
      </c>
      <c r="N7" s="210">
        <f t="shared" si="1"/>
        <v>3.54</v>
      </c>
      <c r="O7" s="210">
        <f t="shared" si="1"/>
        <v>3.54</v>
      </c>
      <c r="P7" s="210">
        <f t="shared" si="1"/>
        <v>3.54</v>
      </c>
      <c r="Q7" s="210">
        <f t="shared" si="1"/>
        <v>3.54</v>
      </c>
      <c r="R7" s="210">
        <f t="shared" si="1"/>
        <v>3.54</v>
      </c>
      <c r="S7" s="210">
        <f t="shared" si="1"/>
        <v>3.54</v>
      </c>
      <c r="T7" s="210">
        <f t="shared" si="1"/>
        <v>3.54</v>
      </c>
      <c r="U7" s="210">
        <f t="shared" si="1"/>
        <v>3.54</v>
      </c>
      <c r="V7" s="210">
        <f t="shared" si="1"/>
        <v>3.54</v>
      </c>
      <c r="W7" s="210">
        <f t="shared" si="1"/>
        <v>3.54</v>
      </c>
      <c r="X7" s="210">
        <f t="shared" si="1"/>
        <v>3.54</v>
      </c>
      <c r="Y7" s="210">
        <f t="shared" si="1"/>
        <v>3.54</v>
      </c>
      <c r="Z7" s="210">
        <f t="shared" si="1"/>
        <v>3.54</v>
      </c>
      <c r="AA7" s="210">
        <f t="shared" si="1"/>
        <v>3.54</v>
      </c>
      <c r="AB7" s="210">
        <f t="shared" si="1"/>
        <v>3.54</v>
      </c>
      <c r="AC7" s="210">
        <f t="shared" si="1"/>
        <v>3.54</v>
      </c>
      <c r="AD7" s="210">
        <f t="shared" si="1"/>
        <v>3.54</v>
      </c>
      <c r="AE7" s="210">
        <f t="shared" si="1"/>
        <v>3.54</v>
      </c>
      <c r="AF7" s="210">
        <f t="shared" si="1"/>
        <v>3.54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/>
      <c r="C11" s="222"/>
      <c r="D11" s="222"/>
      <c r="E11" s="221"/>
      <c r="F11" s="221"/>
      <c r="G11" s="221"/>
      <c r="H11" s="221"/>
      <c r="I11" s="221"/>
      <c r="J11" s="223"/>
      <c r="K11" s="223"/>
      <c r="L11" s="223"/>
      <c r="M11" s="221"/>
      <c r="N11" s="221"/>
      <c r="O11" s="221"/>
      <c r="P11" s="221"/>
      <c r="Q11" s="221"/>
      <c r="R11" s="221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5">
        <v>52.4</v>
      </c>
      <c r="AH11" s="226">
        <f>MAX(B11:AF11)</f>
        <v>0</v>
      </c>
      <c r="AI11" s="227">
        <f>MIN(B11:AF11)</f>
        <v>0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9">
        <v>50</v>
      </c>
      <c r="AH12" s="226">
        <f t="shared" ref="AH12:AH79" si="2">MAX(B12:AF12)</f>
        <v>0</v>
      </c>
      <c r="AI12" s="227">
        <f t="shared" ref="AI12:AI79" si="3">MIN(B12:AF12)</f>
        <v>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9">
        <v>45</v>
      </c>
      <c r="AH13" s="226">
        <f t="shared" si="2"/>
        <v>0</v>
      </c>
      <c r="AI13" s="227">
        <f t="shared" si="3"/>
        <v>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9">
        <v>42</v>
      </c>
      <c r="AH14" s="226">
        <f t="shared" si="2"/>
        <v>0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30">
        <v>30</v>
      </c>
      <c r="AH15" s="226">
        <f t="shared" si="2"/>
        <v>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9">
        <v>25</v>
      </c>
      <c r="AH16" s="226">
        <f t="shared" si="2"/>
        <v>0</v>
      </c>
      <c r="AI16" s="227">
        <f t="shared" si="3"/>
        <v>0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9">
        <v>25</v>
      </c>
      <c r="AH17" s="226">
        <f t="shared" si="2"/>
        <v>0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9">
        <v>25</v>
      </c>
      <c r="AH18" s="226">
        <f t="shared" si="2"/>
        <v>0</v>
      </c>
      <c r="AI18" s="227">
        <f t="shared" si="3"/>
        <v>0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9">
        <v>24.2</v>
      </c>
      <c r="AH19" s="226">
        <f t="shared" si="2"/>
        <v>0</v>
      </c>
      <c r="AI19" s="227">
        <f t="shared" si="3"/>
        <v>0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9">
        <v>23.5</v>
      </c>
      <c r="AH20" s="226">
        <f t="shared" si="2"/>
        <v>0</v>
      </c>
      <c r="AI20" s="227">
        <f t="shared" si="3"/>
        <v>0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9">
        <v>22.2</v>
      </c>
      <c r="AH21" s="226">
        <f t="shared" si="2"/>
        <v>0</v>
      </c>
      <c r="AI21" s="227">
        <f t="shared" si="3"/>
        <v>0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9">
        <v>22.1</v>
      </c>
      <c r="AH22" s="226">
        <f t="shared" si="2"/>
        <v>0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9">
        <v>22</v>
      </c>
      <c r="AH23" s="226">
        <f t="shared" si="2"/>
        <v>0</v>
      </c>
      <c r="AI23" s="227">
        <f t="shared" si="3"/>
        <v>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9">
        <v>22</v>
      </c>
      <c r="AH24" s="226">
        <f t="shared" si="2"/>
        <v>0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9">
        <v>20</v>
      </c>
      <c r="AH25" s="226">
        <f t="shared" si="2"/>
        <v>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9">
        <v>14.9</v>
      </c>
      <c r="AH26" s="226">
        <f t="shared" si="2"/>
        <v>0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9">
        <v>13.6</v>
      </c>
      <c r="AH27" s="226">
        <f t="shared" si="2"/>
        <v>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9">
        <v>13</v>
      </c>
      <c r="AH28" s="226">
        <f t="shared" si="2"/>
        <v>0</v>
      </c>
      <c r="AI28" s="227">
        <f t="shared" si="3"/>
        <v>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9">
        <v>12</v>
      </c>
      <c r="AH29" s="226">
        <f t="shared" si="2"/>
        <v>0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9">
        <v>12</v>
      </c>
      <c r="AH30" s="226">
        <f t="shared" si="2"/>
        <v>0</v>
      </c>
      <c r="AI30" s="227">
        <f t="shared" si="3"/>
        <v>0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31">
        <v>22</v>
      </c>
      <c r="AH31" s="226">
        <f>MAX(B31:AF31)</f>
        <v>0</v>
      </c>
      <c r="AI31" s="227">
        <f>MIN(B31:AF31)</f>
        <v>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30">
        <v>11.88</v>
      </c>
      <c r="AH32" s="226">
        <f t="shared" si="2"/>
        <v>0</v>
      </c>
      <c r="AI32" s="227">
        <f t="shared" si="3"/>
        <v>0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35">
        <v>11</v>
      </c>
      <c r="AH33" s="226">
        <f t="shared" si="2"/>
        <v>0</v>
      </c>
      <c r="AI33" s="227">
        <f t="shared" si="3"/>
        <v>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35">
        <v>10</v>
      </c>
      <c r="AH34" s="226">
        <f t="shared" si="2"/>
        <v>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5">
        <v>85</v>
      </c>
      <c r="AH36" s="226">
        <f t="shared" si="2"/>
        <v>0</v>
      </c>
      <c r="AI36" s="227">
        <f t="shared" si="3"/>
        <v>0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0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0</v>
      </c>
      <c r="C38" s="241">
        <f t="shared" si="4"/>
        <v>0</v>
      </c>
      <c r="D38" s="241">
        <f t="shared" si="4"/>
        <v>0</v>
      </c>
      <c r="E38" s="241">
        <f t="shared" si="4"/>
        <v>0</v>
      </c>
      <c r="F38" s="241">
        <f t="shared" si="4"/>
        <v>0</v>
      </c>
      <c r="G38" s="241">
        <f t="shared" si="4"/>
        <v>0</v>
      </c>
      <c r="H38" s="241">
        <f t="shared" si="4"/>
        <v>0</v>
      </c>
      <c r="I38" s="241">
        <f t="shared" si="4"/>
        <v>0</v>
      </c>
      <c r="J38" s="241">
        <f t="shared" si="4"/>
        <v>0</v>
      </c>
      <c r="K38" s="241">
        <f t="shared" si="4"/>
        <v>0</v>
      </c>
      <c r="L38" s="241">
        <f t="shared" si="4"/>
        <v>0</v>
      </c>
      <c r="M38" s="241">
        <f t="shared" si="4"/>
        <v>0</v>
      </c>
      <c r="N38" s="241">
        <f t="shared" si="4"/>
        <v>0</v>
      </c>
      <c r="O38" s="241">
        <f t="shared" si="4"/>
        <v>0</v>
      </c>
      <c r="P38" s="241">
        <f t="shared" si="4"/>
        <v>0</v>
      </c>
      <c r="Q38" s="241">
        <f t="shared" si="4"/>
        <v>0</v>
      </c>
      <c r="R38" s="241">
        <f t="shared" si="4"/>
        <v>0</v>
      </c>
      <c r="S38" s="241">
        <f t="shared" si="4"/>
        <v>0</v>
      </c>
      <c r="T38" s="241">
        <f t="shared" si="4"/>
        <v>0</v>
      </c>
      <c r="U38" s="241">
        <f t="shared" si="4"/>
        <v>0</v>
      </c>
      <c r="V38" s="241">
        <f t="shared" si="4"/>
        <v>0</v>
      </c>
      <c r="W38" s="241">
        <f t="shared" si="4"/>
        <v>0</v>
      </c>
      <c r="X38" s="241">
        <f t="shared" si="4"/>
        <v>0</v>
      </c>
      <c r="Y38" s="241">
        <f t="shared" si="4"/>
        <v>0</v>
      </c>
      <c r="Z38" s="241">
        <f t="shared" si="4"/>
        <v>0</v>
      </c>
      <c r="AA38" s="241">
        <f t="shared" si="4"/>
        <v>0</v>
      </c>
      <c r="AB38" s="241">
        <f t="shared" si="4"/>
        <v>0</v>
      </c>
      <c r="AC38" s="241">
        <f t="shared" si="4"/>
        <v>0</v>
      </c>
      <c r="AD38" s="241">
        <f t="shared" si="4"/>
        <v>0</v>
      </c>
      <c r="AE38" s="241">
        <f t="shared" si="4"/>
        <v>0</v>
      </c>
      <c r="AF38" s="241">
        <f t="shared" si="4"/>
        <v>0</v>
      </c>
      <c r="AG38" s="242">
        <f t="shared" si="4"/>
        <v>665.78</v>
      </c>
      <c r="AH38" s="226">
        <f t="shared" si="2"/>
        <v>0</v>
      </c>
      <c r="AI38" s="227">
        <f t="shared" si="3"/>
        <v>0</v>
      </c>
      <c r="AK38" s="228"/>
    </row>
    <row r="39" spans="1:88" x14ac:dyDescent="0.25">
      <c r="A39" s="243" t="s">
        <v>47</v>
      </c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30">
        <v>456</v>
      </c>
      <c r="AH39" s="226">
        <f t="shared" si="2"/>
        <v>0</v>
      </c>
      <c r="AI39" s="227">
        <f t="shared" si="3"/>
        <v>0</v>
      </c>
      <c r="AK39" s="228"/>
    </row>
    <row r="40" spans="1:88" x14ac:dyDescent="0.25">
      <c r="A40" s="244" t="s">
        <v>48</v>
      </c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35">
        <v>60</v>
      </c>
      <c r="AH40" s="226">
        <f t="shared" si="2"/>
        <v>0</v>
      </c>
      <c r="AI40" s="227">
        <f t="shared" si="3"/>
        <v>0</v>
      </c>
      <c r="AK40" s="228"/>
    </row>
    <row r="41" spans="1:88" ht="15.75" thickBot="1" x14ac:dyDescent="0.3">
      <c r="A41" s="246" t="s">
        <v>49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8">
        <v>22.1</v>
      </c>
      <c r="AH41" s="226">
        <f t="shared" si="2"/>
        <v>0</v>
      </c>
      <c r="AI41" s="227">
        <f t="shared" si="3"/>
        <v>0</v>
      </c>
      <c r="AK41" s="228"/>
    </row>
    <row r="42" spans="1:88" ht="15.75" thickBot="1" x14ac:dyDescent="0.3">
      <c r="A42" s="249" t="s">
        <v>50</v>
      </c>
      <c r="B42" s="241">
        <f>SUM(B39:B41)</f>
        <v>0</v>
      </c>
      <c r="C42" s="241">
        <f t="shared" ref="C42:AG42" si="5">SUM(C39:C41)</f>
        <v>0</v>
      </c>
      <c r="D42" s="241">
        <f t="shared" si="5"/>
        <v>0</v>
      </c>
      <c r="E42" s="241">
        <f t="shared" si="5"/>
        <v>0</v>
      </c>
      <c r="F42" s="241">
        <f t="shared" si="5"/>
        <v>0</v>
      </c>
      <c r="G42" s="241">
        <f t="shared" si="5"/>
        <v>0</v>
      </c>
      <c r="H42" s="241">
        <f t="shared" si="5"/>
        <v>0</v>
      </c>
      <c r="I42" s="241">
        <f t="shared" si="5"/>
        <v>0</v>
      </c>
      <c r="J42" s="241">
        <f t="shared" si="5"/>
        <v>0</v>
      </c>
      <c r="K42" s="241">
        <f t="shared" si="5"/>
        <v>0</v>
      </c>
      <c r="L42" s="241">
        <f t="shared" si="5"/>
        <v>0</v>
      </c>
      <c r="M42" s="241">
        <f t="shared" si="5"/>
        <v>0</v>
      </c>
      <c r="N42" s="241">
        <f t="shared" si="5"/>
        <v>0</v>
      </c>
      <c r="O42" s="241">
        <f t="shared" si="5"/>
        <v>0</v>
      </c>
      <c r="P42" s="241">
        <f t="shared" si="5"/>
        <v>0</v>
      </c>
      <c r="Q42" s="241">
        <f t="shared" si="5"/>
        <v>0</v>
      </c>
      <c r="R42" s="241">
        <f t="shared" si="5"/>
        <v>0</v>
      </c>
      <c r="S42" s="241">
        <f t="shared" si="5"/>
        <v>0</v>
      </c>
      <c r="T42" s="241">
        <f t="shared" si="5"/>
        <v>0</v>
      </c>
      <c r="U42" s="241">
        <f t="shared" si="5"/>
        <v>0</v>
      </c>
      <c r="V42" s="241">
        <f t="shared" si="5"/>
        <v>0</v>
      </c>
      <c r="W42" s="241">
        <f t="shared" si="5"/>
        <v>0</v>
      </c>
      <c r="X42" s="241">
        <f t="shared" si="5"/>
        <v>0</v>
      </c>
      <c r="Y42" s="241">
        <f t="shared" si="5"/>
        <v>0</v>
      </c>
      <c r="Z42" s="241">
        <f t="shared" si="5"/>
        <v>0</v>
      </c>
      <c r="AA42" s="241">
        <f t="shared" si="5"/>
        <v>0</v>
      </c>
      <c r="AB42" s="241">
        <f t="shared" si="5"/>
        <v>0</v>
      </c>
      <c r="AC42" s="241">
        <f t="shared" si="5"/>
        <v>0</v>
      </c>
      <c r="AD42" s="241">
        <f t="shared" si="5"/>
        <v>0</v>
      </c>
      <c r="AE42" s="241">
        <f t="shared" si="5"/>
        <v>0</v>
      </c>
      <c r="AF42" s="241">
        <f t="shared" si="5"/>
        <v>0</v>
      </c>
      <c r="AG42" s="242">
        <f t="shared" si="5"/>
        <v>538.1</v>
      </c>
      <c r="AH42" s="226">
        <f t="shared" si="2"/>
        <v>0</v>
      </c>
      <c r="AI42" s="227">
        <f t="shared" si="3"/>
        <v>0</v>
      </c>
      <c r="AK42" s="228"/>
    </row>
    <row r="43" spans="1:88" x14ac:dyDescent="0.25">
      <c r="A43" s="220" t="s">
        <v>51</v>
      </c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30">
        <v>144</v>
      </c>
      <c r="AH43" s="226">
        <f t="shared" si="2"/>
        <v>0</v>
      </c>
      <c r="AI43" s="227">
        <f t="shared" si="3"/>
        <v>0</v>
      </c>
      <c r="AK43" s="228"/>
    </row>
    <row r="44" spans="1:88" x14ac:dyDescent="0.25">
      <c r="A44" s="234" t="s">
        <v>52</v>
      </c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21"/>
      <c r="N44" s="221"/>
      <c r="O44" s="221"/>
      <c r="P44" s="221"/>
      <c r="Q44" s="221"/>
      <c r="R44" s="221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35">
        <v>70</v>
      </c>
      <c r="AH44" s="226">
        <f t="shared" si="2"/>
        <v>0</v>
      </c>
      <c r="AI44" s="227">
        <f t="shared" si="3"/>
        <v>0</v>
      </c>
      <c r="AK44" s="228"/>
    </row>
    <row r="45" spans="1:88" x14ac:dyDescent="0.25">
      <c r="A45" s="234" t="s">
        <v>53</v>
      </c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21"/>
      <c r="N45" s="221"/>
      <c r="O45" s="221"/>
      <c r="P45" s="221"/>
      <c r="Q45" s="221"/>
      <c r="R45" s="221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35">
        <v>69</v>
      </c>
      <c r="AH45" s="226">
        <f t="shared" si="2"/>
        <v>0</v>
      </c>
      <c r="AI45" s="227">
        <f t="shared" si="3"/>
        <v>0</v>
      </c>
      <c r="AK45" s="228"/>
    </row>
    <row r="46" spans="1:88" x14ac:dyDescent="0.25">
      <c r="A46" s="234" t="s">
        <v>54</v>
      </c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21"/>
      <c r="N46" s="221"/>
      <c r="O46" s="221"/>
      <c r="P46" s="221"/>
      <c r="Q46" s="221"/>
      <c r="R46" s="221"/>
      <c r="S46" s="221"/>
      <c r="T46" s="221"/>
      <c r="U46" s="221"/>
      <c r="V46" s="245"/>
      <c r="W46" s="245"/>
      <c r="X46" s="245"/>
      <c r="Y46" s="245"/>
      <c r="Z46" s="245"/>
      <c r="AA46" s="245"/>
      <c r="AB46" s="237"/>
      <c r="AC46" s="237"/>
      <c r="AD46" s="237"/>
      <c r="AE46" s="237"/>
      <c r="AF46" s="237"/>
      <c r="AG46" s="235">
        <v>60</v>
      </c>
      <c r="AH46" s="226">
        <f t="shared" si="2"/>
        <v>0</v>
      </c>
      <c r="AI46" s="227">
        <f t="shared" si="3"/>
        <v>0</v>
      </c>
      <c r="AK46" s="228"/>
    </row>
    <row r="47" spans="1:88" x14ac:dyDescent="0.25">
      <c r="A47" s="234" t="s">
        <v>55</v>
      </c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21"/>
      <c r="N47" s="221"/>
      <c r="O47" s="221"/>
      <c r="P47" s="221"/>
      <c r="Q47" s="221"/>
      <c r="R47" s="221"/>
      <c r="S47" s="221"/>
      <c r="T47" s="221"/>
      <c r="U47" s="221"/>
      <c r="V47" s="245"/>
      <c r="W47" s="245"/>
      <c r="X47" s="245"/>
      <c r="Y47" s="245"/>
      <c r="Z47" s="245"/>
      <c r="AA47" s="245"/>
      <c r="AB47" s="237"/>
      <c r="AC47" s="237"/>
      <c r="AD47" s="237"/>
      <c r="AE47" s="237"/>
      <c r="AF47" s="237"/>
      <c r="AG47" s="235">
        <v>30</v>
      </c>
      <c r="AH47" s="226">
        <f t="shared" si="2"/>
        <v>0</v>
      </c>
      <c r="AI47" s="227">
        <f t="shared" si="3"/>
        <v>0</v>
      </c>
      <c r="AK47" s="228"/>
    </row>
    <row r="48" spans="1:88" x14ac:dyDescent="0.25">
      <c r="A48" s="234" t="s">
        <v>56</v>
      </c>
      <c r="B48" s="245"/>
      <c r="C48" s="245"/>
      <c r="D48" s="245"/>
      <c r="E48" s="245"/>
      <c r="F48" s="237"/>
      <c r="G48" s="237"/>
      <c r="H48" s="237"/>
      <c r="I48" s="237"/>
      <c r="J48" s="237"/>
      <c r="K48" s="237"/>
      <c r="L48" s="237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45"/>
      <c r="AC48" s="245"/>
      <c r="AD48" s="245"/>
      <c r="AE48" s="245"/>
      <c r="AF48" s="245"/>
      <c r="AG48" s="235">
        <v>25</v>
      </c>
      <c r="AH48" s="226">
        <f t="shared" si="2"/>
        <v>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45"/>
      <c r="AC49" s="245"/>
      <c r="AD49" s="245"/>
      <c r="AE49" s="245"/>
      <c r="AF49" s="245"/>
      <c r="AG49" s="235">
        <v>24</v>
      </c>
      <c r="AH49" s="226">
        <f t="shared" si="2"/>
        <v>0</v>
      </c>
      <c r="AI49" s="227">
        <f t="shared" si="3"/>
        <v>0</v>
      </c>
      <c r="AK49" s="228"/>
    </row>
    <row r="50" spans="1:41" x14ac:dyDescent="0.25">
      <c r="A50" s="234" t="s">
        <v>58</v>
      </c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45"/>
      <c r="AC50" s="245"/>
      <c r="AD50" s="245"/>
      <c r="AE50" s="245"/>
      <c r="AF50" s="245"/>
      <c r="AG50" s="235">
        <v>15</v>
      </c>
      <c r="AH50" s="226">
        <f t="shared" si="2"/>
        <v>0</v>
      </c>
      <c r="AI50" s="227">
        <f t="shared" si="3"/>
        <v>0</v>
      </c>
      <c r="AK50" s="228"/>
      <c r="AL50" s="250"/>
      <c r="AO50" s="250"/>
    </row>
    <row r="51" spans="1:41" s="250" customFormat="1" x14ac:dyDescent="0.25">
      <c r="A51" s="234" t="s">
        <v>59</v>
      </c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45"/>
      <c r="AC51" s="245"/>
      <c r="AD51" s="245"/>
      <c r="AE51" s="245"/>
      <c r="AF51" s="245"/>
      <c r="AG51" s="235">
        <v>14.1</v>
      </c>
      <c r="AH51" s="226">
        <f t="shared" si="2"/>
        <v>0</v>
      </c>
      <c r="AI51" s="227">
        <f t="shared" si="3"/>
        <v>0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45"/>
      <c r="AC52" s="245"/>
      <c r="AD52" s="245"/>
      <c r="AE52" s="245"/>
      <c r="AF52" s="245"/>
      <c r="AG52" s="235">
        <v>14</v>
      </c>
      <c r="AH52" s="226">
        <f t="shared" si="2"/>
        <v>0</v>
      </c>
      <c r="AI52" s="227">
        <f t="shared" si="3"/>
        <v>0</v>
      </c>
      <c r="AK52" s="228"/>
    </row>
    <row r="53" spans="1:41" x14ac:dyDescent="0.25">
      <c r="A53" s="234" t="s">
        <v>61</v>
      </c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45"/>
      <c r="AC53" s="245"/>
      <c r="AD53" s="245"/>
      <c r="AE53" s="245"/>
      <c r="AF53" s="245"/>
      <c r="AG53" s="235">
        <v>10.050000000000001</v>
      </c>
      <c r="AH53" s="226">
        <f t="shared" si="2"/>
        <v>0</v>
      </c>
      <c r="AI53" s="227">
        <f t="shared" si="3"/>
        <v>0</v>
      </c>
      <c r="AK53" s="228"/>
    </row>
    <row r="54" spans="1:41" x14ac:dyDescent="0.25">
      <c r="A54" s="234" t="s">
        <v>62</v>
      </c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45"/>
      <c r="AC54" s="245"/>
      <c r="AD54" s="245"/>
      <c r="AE54" s="245"/>
      <c r="AF54" s="245"/>
      <c r="AG54" s="235">
        <v>6.2</v>
      </c>
      <c r="AH54" s="226">
        <f t="shared" si="2"/>
        <v>0</v>
      </c>
      <c r="AI54" s="227">
        <f t="shared" si="3"/>
        <v>0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3.54</v>
      </c>
      <c r="C56" s="241">
        <f t="shared" ref="C56:AG56" si="6">SUM(C43:C55)</f>
        <v>3.54</v>
      </c>
      <c r="D56" s="241">
        <f t="shared" si="6"/>
        <v>3.54</v>
      </c>
      <c r="E56" s="241">
        <f t="shared" si="6"/>
        <v>3.54</v>
      </c>
      <c r="F56" s="241">
        <f t="shared" si="6"/>
        <v>3.54</v>
      </c>
      <c r="G56" s="241">
        <f t="shared" si="6"/>
        <v>3.54</v>
      </c>
      <c r="H56" s="241">
        <f t="shared" si="6"/>
        <v>3.54</v>
      </c>
      <c r="I56" s="241">
        <f t="shared" si="6"/>
        <v>3.54</v>
      </c>
      <c r="J56" s="241">
        <f t="shared" si="6"/>
        <v>3.54</v>
      </c>
      <c r="K56" s="241">
        <f t="shared" si="6"/>
        <v>3.54</v>
      </c>
      <c r="L56" s="241">
        <f t="shared" si="6"/>
        <v>3.54</v>
      </c>
      <c r="M56" s="241">
        <f t="shared" si="6"/>
        <v>3.54</v>
      </c>
      <c r="N56" s="241">
        <f t="shared" si="6"/>
        <v>3.54</v>
      </c>
      <c r="O56" s="241">
        <f t="shared" si="6"/>
        <v>3.54</v>
      </c>
      <c r="P56" s="241">
        <f t="shared" si="6"/>
        <v>3.54</v>
      </c>
      <c r="Q56" s="241">
        <f t="shared" si="6"/>
        <v>3.54</v>
      </c>
      <c r="R56" s="241">
        <f t="shared" si="6"/>
        <v>3.54</v>
      </c>
      <c r="S56" s="241">
        <f t="shared" si="6"/>
        <v>3.54</v>
      </c>
      <c r="T56" s="241">
        <f t="shared" si="6"/>
        <v>3.54</v>
      </c>
      <c r="U56" s="241">
        <f t="shared" si="6"/>
        <v>3.54</v>
      </c>
      <c r="V56" s="241">
        <f t="shared" si="6"/>
        <v>3.54</v>
      </c>
      <c r="W56" s="241">
        <f t="shared" si="6"/>
        <v>3.54</v>
      </c>
      <c r="X56" s="241">
        <f t="shared" si="6"/>
        <v>3.54</v>
      </c>
      <c r="Y56" s="241">
        <f t="shared" si="6"/>
        <v>3.54</v>
      </c>
      <c r="Z56" s="241">
        <f t="shared" si="6"/>
        <v>3.54</v>
      </c>
      <c r="AA56" s="241">
        <f t="shared" si="6"/>
        <v>3.54</v>
      </c>
      <c r="AB56" s="241">
        <f t="shared" si="6"/>
        <v>3.54</v>
      </c>
      <c r="AC56" s="241">
        <f t="shared" si="6"/>
        <v>3.54</v>
      </c>
      <c r="AD56" s="241">
        <f t="shared" si="6"/>
        <v>3.54</v>
      </c>
      <c r="AE56" s="241">
        <f t="shared" si="6"/>
        <v>3.54</v>
      </c>
      <c r="AF56" s="241">
        <f t="shared" si="6"/>
        <v>3.54</v>
      </c>
      <c r="AG56" s="242">
        <f t="shared" si="6"/>
        <v>489.91</v>
      </c>
      <c r="AH56" s="226">
        <f t="shared" si="2"/>
        <v>3.54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30"/>
      <c r="AH61" s="226">
        <f t="shared" si="2"/>
        <v>0</v>
      </c>
      <c r="AI61" s="227">
        <f t="shared" si="3"/>
        <v>0</v>
      </c>
      <c r="AK61" s="228"/>
    </row>
    <row r="62" spans="1:41" x14ac:dyDescent="0.25">
      <c r="A62" s="234" t="s">
        <v>70</v>
      </c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55"/>
      <c r="AH63" s="226">
        <f t="shared" si="2"/>
        <v>0</v>
      </c>
      <c r="AI63" s="227">
        <f t="shared" si="3"/>
        <v>0</v>
      </c>
      <c r="AK63" s="228"/>
    </row>
    <row r="64" spans="1:41" x14ac:dyDescent="0.25">
      <c r="A64" s="234" t="s">
        <v>72</v>
      </c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8">SUMIF(C61:C71,"&gt;0")</f>
        <v>0</v>
      </c>
      <c r="D72" s="241">
        <f t="shared" si="8"/>
        <v>0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0</v>
      </c>
      <c r="S72" s="241">
        <f t="shared" si="9"/>
        <v>0</v>
      </c>
      <c r="T72" s="241">
        <f t="shared" si="9"/>
        <v>0</v>
      </c>
      <c r="U72" s="241">
        <f t="shared" si="9"/>
        <v>0</v>
      </c>
      <c r="V72" s="241">
        <f t="shared" si="9"/>
        <v>0</v>
      </c>
      <c r="W72" s="241">
        <f t="shared" si="9"/>
        <v>0</v>
      </c>
      <c r="X72" s="241">
        <f t="shared" si="9"/>
        <v>0</v>
      </c>
      <c r="Y72" s="241">
        <f t="shared" si="9"/>
        <v>0</v>
      </c>
      <c r="Z72" s="241">
        <f t="shared" si="9"/>
        <v>0</v>
      </c>
      <c r="AA72" s="241">
        <f t="shared" si="9"/>
        <v>0</v>
      </c>
      <c r="AB72" s="241">
        <f t="shared" si="9"/>
        <v>0</v>
      </c>
      <c r="AC72" s="241">
        <f t="shared" si="9"/>
        <v>0</v>
      </c>
      <c r="AD72" s="241">
        <f t="shared" si="9"/>
        <v>0</v>
      </c>
      <c r="AE72" s="241">
        <f t="shared" si="9"/>
        <v>0</v>
      </c>
      <c r="AF72" s="241">
        <f t="shared" si="9"/>
        <v>0</v>
      </c>
      <c r="AG72" s="261">
        <f>SUM(AG61:AG71)</f>
        <v>0</v>
      </c>
      <c r="AH72" s="226">
        <f t="shared" si="2"/>
        <v>0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3.54</v>
      </c>
      <c r="C77" s="263">
        <f t="shared" ref="C77:AF77" si="10">C38+C42+C60+C56+C72+C76</f>
        <v>3.54</v>
      </c>
      <c r="D77" s="263">
        <f t="shared" si="10"/>
        <v>3.54</v>
      </c>
      <c r="E77" s="263">
        <f t="shared" si="10"/>
        <v>3.54</v>
      </c>
      <c r="F77" s="263">
        <f t="shared" si="10"/>
        <v>3.54</v>
      </c>
      <c r="G77" s="263">
        <f t="shared" si="10"/>
        <v>3.54</v>
      </c>
      <c r="H77" s="263">
        <f t="shared" si="10"/>
        <v>3.54</v>
      </c>
      <c r="I77" s="263">
        <f t="shared" si="10"/>
        <v>3.54</v>
      </c>
      <c r="J77" s="263">
        <f t="shared" si="10"/>
        <v>3.54</v>
      </c>
      <c r="K77" s="263">
        <f t="shared" si="10"/>
        <v>3.54</v>
      </c>
      <c r="L77" s="263">
        <f t="shared" si="10"/>
        <v>3.54</v>
      </c>
      <c r="M77" s="263">
        <f t="shared" si="10"/>
        <v>3.54</v>
      </c>
      <c r="N77" s="263">
        <f t="shared" si="10"/>
        <v>3.54</v>
      </c>
      <c r="O77" s="263">
        <f t="shared" si="10"/>
        <v>3.54</v>
      </c>
      <c r="P77" s="263">
        <f t="shared" si="10"/>
        <v>3.54</v>
      </c>
      <c r="Q77" s="263">
        <f t="shared" si="10"/>
        <v>3.54</v>
      </c>
      <c r="R77" s="263">
        <f t="shared" si="10"/>
        <v>3.54</v>
      </c>
      <c r="S77" s="263">
        <f t="shared" si="10"/>
        <v>3.54</v>
      </c>
      <c r="T77" s="263">
        <f t="shared" si="10"/>
        <v>3.54</v>
      </c>
      <c r="U77" s="263">
        <f t="shared" si="10"/>
        <v>3.54</v>
      </c>
      <c r="V77" s="263">
        <f t="shared" si="10"/>
        <v>3.54</v>
      </c>
      <c r="W77" s="263">
        <f t="shared" si="10"/>
        <v>3.54</v>
      </c>
      <c r="X77" s="263">
        <f t="shared" si="10"/>
        <v>3.54</v>
      </c>
      <c r="Y77" s="263">
        <f t="shared" si="10"/>
        <v>3.54</v>
      </c>
      <c r="Z77" s="263">
        <f t="shared" si="10"/>
        <v>3.54</v>
      </c>
      <c r="AA77" s="263">
        <f t="shared" si="10"/>
        <v>3.54</v>
      </c>
      <c r="AB77" s="263">
        <f t="shared" si="10"/>
        <v>3.54</v>
      </c>
      <c r="AC77" s="263">
        <f t="shared" si="10"/>
        <v>3.54</v>
      </c>
      <c r="AD77" s="263">
        <f t="shared" si="10"/>
        <v>3.54</v>
      </c>
      <c r="AE77" s="263">
        <f t="shared" si="10"/>
        <v>3.54</v>
      </c>
      <c r="AF77" s="263">
        <f t="shared" si="10"/>
        <v>3.54</v>
      </c>
      <c r="AG77" s="242">
        <f>AG38+AG42+AG60+AG56+AG72+AG76</f>
        <v>1855.1900000000003</v>
      </c>
      <c r="AH77" s="226">
        <f t="shared" si="2"/>
        <v>3.54</v>
      </c>
      <c r="AI77" s="227">
        <f t="shared" si="3"/>
        <v>3.54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3.54</v>
      </c>
      <c r="C79" s="263">
        <f t="shared" ref="C79:AF79" si="11">C77+C78</f>
        <v>3.54</v>
      </c>
      <c r="D79" s="263">
        <f t="shared" si="11"/>
        <v>3.54</v>
      </c>
      <c r="E79" s="263">
        <f t="shared" si="11"/>
        <v>3.54</v>
      </c>
      <c r="F79" s="263">
        <f t="shared" si="11"/>
        <v>3.54</v>
      </c>
      <c r="G79" s="263">
        <f t="shared" si="11"/>
        <v>3.54</v>
      </c>
      <c r="H79" s="263">
        <f t="shared" si="11"/>
        <v>3.54</v>
      </c>
      <c r="I79" s="263">
        <f t="shared" si="11"/>
        <v>3.54</v>
      </c>
      <c r="J79" s="263">
        <f t="shared" si="11"/>
        <v>3.54</v>
      </c>
      <c r="K79" s="263">
        <f t="shared" si="11"/>
        <v>3.54</v>
      </c>
      <c r="L79" s="263">
        <f t="shared" si="11"/>
        <v>3.54</v>
      </c>
      <c r="M79" s="263">
        <f t="shared" si="11"/>
        <v>3.54</v>
      </c>
      <c r="N79" s="263">
        <f t="shared" si="11"/>
        <v>3.54</v>
      </c>
      <c r="O79" s="263">
        <f t="shared" si="11"/>
        <v>3.54</v>
      </c>
      <c r="P79" s="263">
        <f t="shared" si="11"/>
        <v>3.54</v>
      </c>
      <c r="Q79" s="263">
        <f t="shared" si="11"/>
        <v>3.54</v>
      </c>
      <c r="R79" s="263">
        <f t="shared" si="11"/>
        <v>3.54</v>
      </c>
      <c r="S79" s="263">
        <f t="shared" si="11"/>
        <v>3.54</v>
      </c>
      <c r="T79" s="263">
        <f t="shared" si="11"/>
        <v>3.54</v>
      </c>
      <c r="U79" s="263">
        <f t="shared" si="11"/>
        <v>3.54</v>
      </c>
      <c r="V79" s="263">
        <f t="shared" si="11"/>
        <v>3.54</v>
      </c>
      <c r="W79" s="263">
        <f t="shared" si="11"/>
        <v>3.54</v>
      </c>
      <c r="X79" s="263">
        <f t="shared" si="11"/>
        <v>3.54</v>
      </c>
      <c r="Y79" s="263">
        <f t="shared" si="11"/>
        <v>3.54</v>
      </c>
      <c r="Z79" s="263">
        <f t="shared" si="11"/>
        <v>3.54</v>
      </c>
      <c r="AA79" s="263">
        <f t="shared" si="11"/>
        <v>3.54</v>
      </c>
      <c r="AB79" s="263">
        <f t="shared" si="11"/>
        <v>3.54</v>
      </c>
      <c r="AC79" s="263">
        <f t="shared" si="11"/>
        <v>3.54</v>
      </c>
      <c r="AD79" s="263">
        <f t="shared" si="11"/>
        <v>3.54</v>
      </c>
      <c r="AE79" s="263">
        <f t="shared" si="11"/>
        <v>3.54</v>
      </c>
      <c r="AF79" s="263">
        <f t="shared" si="11"/>
        <v>3.54</v>
      </c>
      <c r="AG79" s="261">
        <f>AG76+AG72+AG60+AG56+AG38+AG78</f>
        <v>1317.0900000000001</v>
      </c>
      <c r="AH79" s="226">
        <f t="shared" si="2"/>
        <v>3.54</v>
      </c>
      <c r="AI79" s="227">
        <f t="shared" si="3"/>
        <v>3.54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3.54</v>
      </c>
      <c r="C80" s="263">
        <f t="shared" si="12"/>
        <v>3.54</v>
      </c>
      <c r="D80" s="263">
        <f t="shared" si="12"/>
        <v>3.54</v>
      </c>
      <c r="E80" s="263">
        <f t="shared" si="12"/>
        <v>3.54</v>
      </c>
      <c r="F80" s="263">
        <f t="shared" si="12"/>
        <v>3.54</v>
      </c>
      <c r="G80" s="263">
        <f t="shared" si="12"/>
        <v>3.54</v>
      </c>
      <c r="H80" s="263">
        <f t="shared" si="12"/>
        <v>3.54</v>
      </c>
      <c r="I80" s="263">
        <f t="shared" si="12"/>
        <v>3.54</v>
      </c>
      <c r="J80" s="263">
        <f t="shared" si="12"/>
        <v>3.54</v>
      </c>
      <c r="K80" s="263">
        <f t="shared" si="12"/>
        <v>3.54</v>
      </c>
      <c r="L80" s="263">
        <f t="shared" si="12"/>
        <v>3.54</v>
      </c>
      <c r="M80" s="263">
        <f t="shared" si="12"/>
        <v>3.54</v>
      </c>
      <c r="N80" s="263">
        <f t="shared" si="12"/>
        <v>3.54</v>
      </c>
      <c r="O80" s="263">
        <f t="shared" si="12"/>
        <v>3.54</v>
      </c>
      <c r="P80" s="263">
        <f t="shared" si="12"/>
        <v>3.54</v>
      </c>
      <c r="Q80" s="263">
        <f t="shared" si="12"/>
        <v>3.54</v>
      </c>
      <c r="R80" s="263">
        <f t="shared" si="12"/>
        <v>3.54</v>
      </c>
      <c r="S80" s="263">
        <f t="shared" si="12"/>
        <v>3.54</v>
      </c>
      <c r="T80" s="263">
        <f t="shared" si="12"/>
        <v>3.54</v>
      </c>
      <c r="U80" s="263">
        <f t="shared" si="12"/>
        <v>3.54</v>
      </c>
      <c r="V80" s="263">
        <f t="shared" si="12"/>
        <v>3.54</v>
      </c>
      <c r="W80" s="263">
        <f t="shared" si="12"/>
        <v>3.54</v>
      </c>
      <c r="X80" s="263">
        <f t="shared" si="12"/>
        <v>3.54</v>
      </c>
      <c r="Y80" s="263">
        <f t="shared" si="12"/>
        <v>3.54</v>
      </c>
      <c r="Z80" s="263">
        <f t="shared" si="12"/>
        <v>3.54</v>
      </c>
      <c r="AA80" s="263">
        <f t="shared" si="12"/>
        <v>3.54</v>
      </c>
      <c r="AB80" s="263">
        <f t="shared" si="12"/>
        <v>3.54</v>
      </c>
      <c r="AC80" s="263">
        <f t="shared" si="12"/>
        <v>3.54</v>
      </c>
      <c r="AD80" s="263">
        <f t="shared" si="12"/>
        <v>3.54</v>
      </c>
      <c r="AE80" s="263">
        <f t="shared" si="12"/>
        <v>3.54</v>
      </c>
      <c r="AF80" s="263">
        <f t="shared" si="12"/>
        <v>3.54</v>
      </c>
      <c r="AG80" s="261"/>
      <c r="AH80" s="226">
        <f t="shared" ref="AH80:AH97" si="13">MAX(B80:AF80)</f>
        <v>3.54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0</v>
      </c>
      <c r="C84" s="256">
        <f t="shared" ref="C84:AF84" si="18">IF(C63&lt;0,C63*-1,0)</f>
        <v>0</v>
      </c>
      <c r="D84" s="256">
        <f t="shared" si="18"/>
        <v>0</v>
      </c>
      <c r="E84" s="256">
        <f t="shared" si="18"/>
        <v>0</v>
      </c>
      <c r="F84" s="256">
        <f t="shared" si="18"/>
        <v>0</v>
      </c>
      <c r="G84" s="256">
        <f t="shared" si="18"/>
        <v>0</v>
      </c>
      <c r="H84" s="256">
        <f t="shared" si="18"/>
        <v>0</v>
      </c>
      <c r="I84" s="256">
        <f t="shared" si="18"/>
        <v>0</v>
      </c>
      <c r="J84" s="256">
        <f t="shared" si="18"/>
        <v>0</v>
      </c>
      <c r="K84" s="256">
        <f t="shared" si="18"/>
        <v>0</v>
      </c>
      <c r="L84" s="256">
        <f t="shared" si="18"/>
        <v>0</v>
      </c>
      <c r="M84" s="256">
        <f t="shared" si="18"/>
        <v>0</v>
      </c>
      <c r="N84" s="256">
        <f t="shared" si="18"/>
        <v>0</v>
      </c>
      <c r="O84" s="256">
        <f t="shared" si="18"/>
        <v>0</v>
      </c>
      <c r="P84" s="256">
        <f t="shared" si="18"/>
        <v>0</v>
      </c>
      <c r="Q84" s="256">
        <f t="shared" si="18"/>
        <v>0</v>
      </c>
      <c r="R84" s="256">
        <f t="shared" si="18"/>
        <v>0</v>
      </c>
      <c r="S84" s="256">
        <f t="shared" si="18"/>
        <v>0</v>
      </c>
      <c r="T84" s="256">
        <f t="shared" si="18"/>
        <v>0</v>
      </c>
      <c r="U84" s="256">
        <f t="shared" si="18"/>
        <v>0</v>
      </c>
      <c r="V84" s="256">
        <f t="shared" si="18"/>
        <v>0</v>
      </c>
      <c r="W84" s="256">
        <f t="shared" si="18"/>
        <v>0</v>
      </c>
      <c r="X84" s="256">
        <f t="shared" si="18"/>
        <v>0</v>
      </c>
      <c r="Y84" s="256">
        <f t="shared" si="18"/>
        <v>0</v>
      </c>
      <c r="Z84" s="256">
        <f t="shared" si="18"/>
        <v>0</v>
      </c>
      <c r="AA84" s="256">
        <f t="shared" si="18"/>
        <v>0</v>
      </c>
      <c r="AB84" s="256">
        <f t="shared" si="18"/>
        <v>0</v>
      </c>
      <c r="AC84" s="256">
        <f t="shared" si="18"/>
        <v>0</v>
      </c>
      <c r="AD84" s="256">
        <f t="shared" si="18"/>
        <v>0</v>
      </c>
      <c r="AE84" s="256">
        <f t="shared" si="18"/>
        <v>0</v>
      </c>
      <c r="AF84" s="256">
        <f t="shared" si="18"/>
        <v>0</v>
      </c>
      <c r="AG84" s="266"/>
      <c r="AH84" s="226">
        <f t="shared" si="13"/>
        <v>0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0</v>
      </c>
      <c r="C87" s="241">
        <f t="shared" ref="C87:AF87" si="20">SUM(C81:C86)</f>
        <v>0</v>
      </c>
      <c r="D87" s="241">
        <f t="shared" si="20"/>
        <v>0</v>
      </c>
      <c r="E87" s="241">
        <f t="shared" si="20"/>
        <v>0</v>
      </c>
      <c r="F87" s="241">
        <f t="shared" si="20"/>
        <v>0</v>
      </c>
      <c r="G87" s="241">
        <f t="shared" si="20"/>
        <v>0</v>
      </c>
      <c r="H87" s="241">
        <f t="shared" si="20"/>
        <v>0</v>
      </c>
      <c r="I87" s="241">
        <f t="shared" si="20"/>
        <v>0</v>
      </c>
      <c r="J87" s="241">
        <f t="shared" si="20"/>
        <v>0</v>
      </c>
      <c r="K87" s="241">
        <f t="shared" si="20"/>
        <v>0</v>
      </c>
      <c r="L87" s="241">
        <f t="shared" si="20"/>
        <v>0</v>
      </c>
      <c r="M87" s="241">
        <f t="shared" si="20"/>
        <v>0</v>
      </c>
      <c r="N87" s="241">
        <f t="shared" si="20"/>
        <v>0</v>
      </c>
      <c r="O87" s="241">
        <f t="shared" si="20"/>
        <v>0</v>
      </c>
      <c r="P87" s="241">
        <f t="shared" si="20"/>
        <v>0</v>
      </c>
      <c r="Q87" s="241">
        <f t="shared" si="20"/>
        <v>0</v>
      </c>
      <c r="R87" s="241">
        <f t="shared" si="20"/>
        <v>0</v>
      </c>
      <c r="S87" s="241">
        <f t="shared" si="20"/>
        <v>0</v>
      </c>
      <c r="T87" s="241">
        <f t="shared" si="20"/>
        <v>0</v>
      </c>
      <c r="U87" s="241">
        <f t="shared" si="20"/>
        <v>0</v>
      </c>
      <c r="V87" s="241">
        <f t="shared" si="20"/>
        <v>0</v>
      </c>
      <c r="W87" s="241">
        <f t="shared" si="20"/>
        <v>0</v>
      </c>
      <c r="X87" s="241">
        <f t="shared" si="20"/>
        <v>0</v>
      </c>
      <c r="Y87" s="241">
        <f t="shared" si="20"/>
        <v>0</v>
      </c>
      <c r="Z87" s="241">
        <f t="shared" si="20"/>
        <v>0</v>
      </c>
      <c r="AA87" s="241">
        <f t="shared" si="20"/>
        <v>0</v>
      </c>
      <c r="AB87" s="241">
        <f t="shared" si="20"/>
        <v>0</v>
      </c>
      <c r="AC87" s="241">
        <f t="shared" si="20"/>
        <v>0</v>
      </c>
      <c r="AD87" s="241">
        <f t="shared" si="20"/>
        <v>0</v>
      </c>
      <c r="AE87" s="241">
        <f t="shared" si="20"/>
        <v>0</v>
      </c>
      <c r="AF87" s="241">
        <f t="shared" si="20"/>
        <v>0</v>
      </c>
      <c r="AG87" s="261"/>
      <c r="AH87" s="226">
        <f t="shared" si="13"/>
        <v>0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0</v>
      </c>
      <c r="C88" s="241">
        <f t="shared" ref="C88:AF88" si="21">C72-C87</f>
        <v>0</v>
      </c>
      <c r="D88" s="241">
        <f t="shared" si="21"/>
        <v>0</v>
      </c>
      <c r="E88" s="241">
        <f t="shared" si="21"/>
        <v>0</v>
      </c>
      <c r="F88" s="241">
        <f t="shared" si="21"/>
        <v>0</v>
      </c>
      <c r="G88" s="241">
        <f t="shared" si="21"/>
        <v>0</v>
      </c>
      <c r="H88" s="241">
        <f t="shared" si="21"/>
        <v>0</v>
      </c>
      <c r="I88" s="241">
        <f t="shared" si="21"/>
        <v>0</v>
      </c>
      <c r="J88" s="241">
        <f t="shared" si="21"/>
        <v>0</v>
      </c>
      <c r="K88" s="241">
        <f t="shared" si="21"/>
        <v>0</v>
      </c>
      <c r="L88" s="241">
        <f t="shared" si="21"/>
        <v>0</v>
      </c>
      <c r="M88" s="241">
        <f t="shared" si="21"/>
        <v>0</v>
      </c>
      <c r="N88" s="241">
        <f t="shared" si="21"/>
        <v>0</v>
      </c>
      <c r="O88" s="241">
        <f t="shared" si="21"/>
        <v>0</v>
      </c>
      <c r="P88" s="241">
        <f t="shared" si="21"/>
        <v>0</v>
      </c>
      <c r="Q88" s="241">
        <f t="shared" si="21"/>
        <v>0</v>
      </c>
      <c r="R88" s="241">
        <f t="shared" si="21"/>
        <v>0</v>
      </c>
      <c r="S88" s="241">
        <f t="shared" si="21"/>
        <v>0</v>
      </c>
      <c r="T88" s="241">
        <f t="shared" si="21"/>
        <v>0</v>
      </c>
      <c r="U88" s="241">
        <f t="shared" si="21"/>
        <v>0</v>
      </c>
      <c r="V88" s="241">
        <f t="shared" si="21"/>
        <v>0</v>
      </c>
      <c r="W88" s="241">
        <f t="shared" si="21"/>
        <v>0</v>
      </c>
      <c r="X88" s="241">
        <f t="shared" si="21"/>
        <v>0</v>
      </c>
      <c r="Y88" s="241">
        <f t="shared" si="21"/>
        <v>0</v>
      </c>
      <c r="Z88" s="241">
        <f t="shared" si="21"/>
        <v>0</v>
      </c>
      <c r="AA88" s="241">
        <f t="shared" si="21"/>
        <v>0</v>
      </c>
      <c r="AB88" s="241">
        <f t="shared" si="21"/>
        <v>0</v>
      </c>
      <c r="AC88" s="241">
        <f t="shared" si="21"/>
        <v>0</v>
      </c>
      <c r="AD88" s="241">
        <f t="shared" si="21"/>
        <v>0</v>
      </c>
      <c r="AE88" s="241">
        <f t="shared" si="21"/>
        <v>0</v>
      </c>
      <c r="AF88" s="241">
        <f t="shared" si="21"/>
        <v>0</v>
      </c>
      <c r="AG88" s="261"/>
      <c r="AH88" s="226">
        <f t="shared" si="13"/>
        <v>0</v>
      </c>
      <c r="AI88" s="227">
        <f t="shared" si="15"/>
        <v>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70"/>
      <c r="AH89" s="226">
        <f t="shared" si="13"/>
        <v>0</v>
      </c>
      <c r="AI89" s="227">
        <f t="shared" si="15"/>
        <v>0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72"/>
      <c r="AH90" s="226">
        <f t="shared" si="13"/>
        <v>0</v>
      </c>
      <c r="AI90" s="227">
        <f t="shared" si="15"/>
        <v>0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72"/>
      <c r="AH91" s="226">
        <f t="shared" si="13"/>
        <v>0</v>
      </c>
      <c r="AI91" s="227">
        <f t="shared" si="15"/>
        <v>0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72"/>
      <c r="AH92" s="226">
        <f t="shared" si="13"/>
        <v>0</v>
      </c>
      <c r="AI92" s="227">
        <f t="shared" si="15"/>
        <v>0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0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  <c r="AF94" s="274"/>
      <c r="AG94" s="275"/>
      <c r="AH94" s="226">
        <f t="shared" si="13"/>
        <v>0</v>
      </c>
      <c r="AI94" s="227">
        <f t="shared" si="15"/>
        <v>0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72"/>
      <c r="AH95" s="226">
        <f t="shared" si="13"/>
        <v>0</v>
      </c>
      <c r="AI95" s="227">
        <f t="shared" si="15"/>
        <v>0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  <c r="AE96" s="276"/>
      <c r="AF96" s="276"/>
      <c r="AG96" s="277"/>
      <c r="AH96" s="226">
        <f t="shared" si="13"/>
        <v>0</v>
      </c>
      <c r="AI96" s="227">
        <f t="shared" si="15"/>
        <v>0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SUM(B15,B18,B21:B22,B46,B48:B49,B51,B53,B99:B103,B125,B131,B137,B146,B148,B160,B167,B170:B171,B178,B180,B182,B186:B188,B190:B192,B197,B203:B204,B206:B208,B216,B221)</f>
        <v>0</v>
      </c>
      <c r="C98" s="280">
        <f t="shared" si="22"/>
        <v>0.94</v>
      </c>
      <c r="D98" s="280">
        <f t="shared" si="22"/>
        <v>0.94</v>
      </c>
      <c r="E98" s="280">
        <f t="shared" si="22"/>
        <v>0.94</v>
      </c>
      <c r="F98" s="280">
        <f t="shared" si="22"/>
        <v>0.94</v>
      </c>
      <c r="G98" s="280">
        <f t="shared" si="22"/>
        <v>0.94</v>
      </c>
      <c r="H98" s="280">
        <f t="shared" si="22"/>
        <v>0.94</v>
      </c>
      <c r="I98" s="280">
        <f t="shared" si="22"/>
        <v>0.94</v>
      </c>
      <c r="J98" s="280">
        <f t="shared" si="22"/>
        <v>0.94</v>
      </c>
      <c r="K98" s="280">
        <f t="shared" si="22"/>
        <v>0.94</v>
      </c>
      <c r="L98" s="280">
        <f t="shared" si="22"/>
        <v>0.94</v>
      </c>
      <c r="M98" s="280">
        <f t="shared" si="22"/>
        <v>0.94</v>
      </c>
      <c r="N98" s="280">
        <f t="shared" si="22"/>
        <v>0.94</v>
      </c>
      <c r="O98" s="280">
        <f t="shared" si="22"/>
        <v>0.94</v>
      </c>
      <c r="P98" s="280">
        <f t="shared" si="22"/>
        <v>0.94</v>
      </c>
      <c r="Q98" s="280">
        <f t="shared" si="22"/>
        <v>0</v>
      </c>
      <c r="R98" s="280">
        <f t="shared" si="22"/>
        <v>0</v>
      </c>
      <c r="S98" s="280">
        <f t="shared" si="22"/>
        <v>0</v>
      </c>
      <c r="T98" s="280">
        <f t="shared" si="22"/>
        <v>0</v>
      </c>
      <c r="U98" s="280">
        <f t="shared" si="22"/>
        <v>0</v>
      </c>
      <c r="V98" s="280">
        <f t="shared" si="22"/>
        <v>0</v>
      </c>
      <c r="W98" s="280">
        <f t="shared" si="22"/>
        <v>0</v>
      </c>
      <c r="X98" s="280">
        <f t="shared" si="22"/>
        <v>0</v>
      </c>
      <c r="Y98" s="280">
        <f t="shared" si="22"/>
        <v>0</v>
      </c>
      <c r="Z98" s="280">
        <f t="shared" si="22"/>
        <v>0</v>
      </c>
      <c r="AA98" s="280">
        <f t="shared" si="22"/>
        <v>0</v>
      </c>
      <c r="AB98" s="280">
        <f t="shared" si="22"/>
        <v>0</v>
      </c>
      <c r="AC98" s="280">
        <f t="shared" si="22"/>
        <v>0</v>
      </c>
      <c r="AD98" s="280">
        <f t="shared" si="22"/>
        <v>0</v>
      </c>
      <c r="AE98" s="280">
        <f t="shared" si="22"/>
        <v>0</v>
      </c>
      <c r="AF98" s="280">
        <f t="shared" si="22"/>
        <v>0</v>
      </c>
      <c r="AG98" s="281"/>
      <c r="AH98" s="226">
        <f>MAX(C98:AF98)</f>
        <v>0.94</v>
      </c>
      <c r="AI98" s="227">
        <f>MIN(C98:AF98)</f>
        <v>0</v>
      </c>
    </row>
    <row r="99" spans="1:37" x14ac:dyDescent="0.25">
      <c r="A99" s="268" t="s">
        <v>103</v>
      </c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3">
        <v>75</v>
      </c>
      <c r="AH99" s="226">
        <f t="shared" ref="AH99:AH107" si="23">IF(ABS(MAX(C99:AF99))&gt;ABS(MIN(C99:AF99)),MAX(C99:AF99),MIN(C99:AF99))</f>
        <v>0</v>
      </c>
      <c r="AI99" s="284" t="e">
        <f t="shared" ref="AI99:AI107" si="24">INDEX($C$9:$AF$9,1,MATCH(AH99,C99:AF99,0))</f>
        <v>#N/A</v>
      </c>
    </row>
    <row r="100" spans="1:37" x14ac:dyDescent="0.25">
      <c r="A100" s="271" t="s">
        <v>269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85"/>
      <c r="AG100" s="283">
        <v>240</v>
      </c>
      <c r="AH100" s="226">
        <f t="shared" ref="AH100" si="25">IF(ABS(MAX(C100:AF100))&gt;ABS(MIN(C100:AF100)),MAX(C100:AF100),MIN(C100:AF100))</f>
        <v>0</v>
      </c>
      <c r="AI100" s="284" t="e">
        <f t="shared" ref="AI100" si="26">INDEX($C$9:$AF$9,1,MATCH(AH100,C100:AF100,0))</f>
        <v>#N/A</v>
      </c>
    </row>
    <row r="101" spans="1:37" x14ac:dyDescent="0.25">
      <c r="A101" s="271" t="s">
        <v>104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3">
        <v>240</v>
      </c>
      <c r="AH101" s="226">
        <f t="shared" si="23"/>
        <v>0</v>
      </c>
      <c r="AI101" s="284" t="e">
        <f t="shared" si="24"/>
        <v>#N/A</v>
      </c>
    </row>
    <row r="102" spans="1:37" x14ac:dyDescent="0.25">
      <c r="A102" s="271" t="s">
        <v>105</v>
      </c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5"/>
      <c r="AE102" s="285"/>
      <c r="AF102" s="285"/>
      <c r="AG102" s="283">
        <v>60</v>
      </c>
      <c r="AH102" s="226">
        <f t="shared" si="23"/>
        <v>0</v>
      </c>
      <c r="AI102" s="284" t="e">
        <f t="shared" si="24"/>
        <v>#N/A</v>
      </c>
    </row>
    <row r="103" spans="1:37" x14ac:dyDescent="0.25">
      <c r="A103" s="286" t="s">
        <v>106</v>
      </c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8">
        <v>120</v>
      </c>
      <c r="AH103" s="226">
        <f t="shared" si="23"/>
        <v>0</v>
      </c>
      <c r="AI103" s="284" t="e">
        <f t="shared" si="24"/>
        <v>#N/A</v>
      </c>
    </row>
    <row r="104" spans="1:37" x14ac:dyDescent="0.25">
      <c r="A104" s="286" t="s">
        <v>107</v>
      </c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8"/>
      <c r="AH104" s="226">
        <f t="shared" si="23"/>
        <v>0</v>
      </c>
      <c r="AI104" s="284" t="e">
        <f t="shared" si="24"/>
        <v>#N/A</v>
      </c>
    </row>
    <row r="105" spans="1:37" x14ac:dyDescent="0.25">
      <c r="A105" s="286" t="s">
        <v>108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9"/>
      <c r="AH105" s="226">
        <f t="shared" si="23"/>
        <v>0</v>
      </c>
      <c r="AI105" s="284" t="e">
        <f t="shared" si="24"/>
        <v>#N/A</v>
      </c>
    </row>
    <row r="106" spans="1:37" x14ac:dyDescent="0.25">
      <c r="A106" s="290" t="s">
        <v>109</v>
      </c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89"/>
      <c r="AH106" s="226">
        <f t="shared" si="23"/>
        <v>0</v>
      </c>
      <c r="AI106" s="284" t="e">
        <f t="shared" si="24"/>
        <v>#N/A</v>
      </c>
    </row>
    <row r="107" spans="1:37" ht="15.75" thickBot="1" x14ac:dyDescent="0.3">
      <c r="A107" s="290" t="s">
        <v>110</v>
      </c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  <c r="AE107" s="274"/>
      <c r="AF107" s="274"/>
      <c r="AG107" s="289"/>
      <c r="AH107" s="226">
        <f t="shared" si="23"/>
        <v>0</v>
      </c>
      <c r="AI107" s="284" t="e">
        <f t="shared" si="24"/>
        <v>#N/A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27">SUM(C109:C213)</f>
        <v>0</v>
      </c>
      <c r="D214" s="307">
        <f t="shared" si="27"/>
        <v>0</v>
      </c>
      <c r="E214" s="307">
        <f t="shared" si="27"/>
        <v>0</v>
      </c>
      <c r="F214" s="307">
        <f t="shared" si="27"/>
        <v>0</v>
      </c>
      <c r="G214" s="307">
        <f t="shared" si="27"/>
        <v>0</v>
      </c>
      <c r="H214" s="307">
        <f t="shared" si="27"/>
        <v>0</v>
      </c>
      <c r="I214" s="307">
        <f t="shared" si="27"/>
        <v>0</v>
      </c>
      <c r="J214" s="307">
        <f t="shared" si="27"/>
        <v>0</v>
      </c>
      <c r="K214" s="307">
        <f t="shared" si="27"/>
        <v>0</v>
      </c>
      <c r="L214" s="307">
        <f t="shared" si="27"/>
        <v>0</v>
      </c>
      <c r="M214" s="307">
        <f t="shared" si="27"/>
        <v>0</v>
      </c>
      <c r="N214" s="307">
        <f t="shared" si="27"/>
        <v>0</v>
      </c>
      <c r="O214" s="307">
        <f t="shared" si="27"/>
        <v>0</v>
      </c>
      <c r="P214" s="307">
        <f t="shared" si="27"/>
        <v>0</v>
      </c>
      <c r="Q214" s="307">
        <f t="shared" si="27"/>
        <v>0</v>
      </c>
      <c r="R214" s="307">
        <f t="shared" si="27"/>
        <v>0</v>
      </c>
      <c r="S214" s="307">
        <f t="shared" si="27"/>
        <v>0</v>
      </c>
      <c r="T214" s="307">
        <f t="shared" si="27"/>
        <v>0</v>
      </c>
      <c r="U214" s="307">
        <f t="shared" si="27"/>
        <v>0</v>
      </c>
      <c r="V214" s="307">
        <f t="shared" si="27"/>
        <v>0</v>
      </c>
      <c r="W214" s="307">
        <f t="shared" si="27"/>
        <v>0</v>
      </c>
      <c r="X214" s="307">
        <f t="shared" si="27"/>
        <v>0</v>
      </c>
      <c r="Y214" s="307">
        <f t="shared" si="27"/>
        <v>0</v>
      </c>
      <c r="Z214" s="307">
        <f t="shared" si="27"/>
        <v>0</v>
      </c>
      <c r="AA214" s="307">
        <f t="shared" si="27"/>
        <v>0</v>
      </c>
      <c r="AB214" s="307">
        <f t="shared" si="27"/>
        <v>0</v>
      </c>
      <c r="AC214" s="307">
        <f t="shared" si="27"/>
        <v>0</v>
      </c>
      <c r="AD214" s="307">
        <f t="shared" si="27"/>
        <v>0</v>
      </c>
      <c r="AE214" s="307">
        <f t="shared" si="27"/>
        <v>0</v>
      </c>
      <c r="AF214" s="308">
        <f t="shared" si="27"/>
        <v>0</v>
      </c>
      <c r="AG214" s="309">
        <f t="shared" si="27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28">AF216</f>
        <v>0</v>
      </c>
      <c r="C216" s="312">
        <v>0.3</v>
      </c>
      <c r="D216" s="312">
        <f t="shared" ref="D216:P221" si="29">C216</f>
        <v>0.3</v>
      </c>
      <c r="E216" s="312">
        <f t="shared" si="29"/>
        <v>0.3</v>
      </c>
      <c r="F216" s="312">
        <f t="shared" si="29"/>
        <v>0.3</v>
      </c>
      <c r="G216" s="312">
        <f t="shared" si="29"/>
        <v>0.3</v>
      </c>
      <c r="H216" s="312">
        <f t="shared" si="29"/>
        <v>0.3</v>
      </c>
      <c r="I216" s="312">
        <f t="shared" si="29"/>
        <v>0.3</v>
      </c>
      <c r="J216" s="312">
        <f t="shared" si="29"/>
        <v>0.3</v>
      </c>
      <c r="K216" s="312">
        <f t="shared" si="29"/>
        <v>0.3</v>
      </c>
      <c r="L216" s="312">
        <f t="shared" si="29"/>
        <v>0.3</v>
      </c>
      <c r="M216" s="312">
        <f t="shared" si="29"/>
        <v>0.3</v>
      </c>
      <c r="N216" s="312">
        <f t="shared" si="29"/>
        <v>0.3</v>
      </c>
      <c r="O216" s="312">
        <f t="shared" si="29"/>
        <v>0.3</v>
      </c>
      <c r="P216" s="312">
        <f t="shared" si="29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28"/>
        <v>0</v>
      </c>
      <c r="C217" s="299">
        <v>0.4</v>
      </c>
      <c r="D217" s="299">
        <f t="shared" si="29"/>
        <v>0.4</v>
      </c>
      <c r="E217" s="299">
        <f t="shared" si="29"/>
        <v>0.4</v>
      </c>
      <c r="F217" s="299">
        <f t="shared" si="29"/>
        <v>0.4</v>
      </c>
      <c r="G217" s="299">
        <f t="shared" si="29"/>
        <v>0.4</v>
      </c>
      <c r="H217" s="299">
        <f t="shared" si="29"/>
        <v>0.4</v>
      </c>
      <c r="I217" s="299">
        <f t="shared" si="29"/>
        <v>0.4</v>
      </c>
      <c r="J217" s="299">
        <f t="shared" si="29"/>
        <v>0.4</v>
      </c>
      <c r="K217" s="299">
        <f t="shared" si="29"/>
        <v>0.4</v>
      </c>
      <c r="L217" s="299">
        <f t="shared" si="29"/>
        <v>0.4</v>
      </c>
      <c r="M217" s="299">
        <f t="shared" si="29"/>
        <v>0.4</v>
      </c>
      <c r="N217" s="299">
        <f t="shared" si="29"/>
        <v>0.4</v>
      </c>
      <c r="O217" s="299">
        <f t="shared" si="29"/>
        <v>0.4</v>
      </c>
      <c r="P217" s="299">
        <f t="shared" si="29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28"/>
        <v>0</v>
      </c>
      <c r="C218" s="299">
        <v>1.5</v>
      </c>
      <c r="D218" s="299">
        <f t="shared" si="29"/>
        <v>1.5</v>
      </c>
      <c r="E218" s="299">
        <f t="shared" si="29"/>
        <v>1.5</v>
      </c>
      <c r="F218" s="299">
        <f t="shared" si="29"/>
        <v>1.5</v>
      </c>
      <c r="G218" s="299">
        <f t="shared" si="29"/>
        <v>1.5</v>
      </c>
      <c r="H218" s="299">
        <f t="shared" si="29"/>
        <v>1.5</v>
      </c>
      <c r="I218" s="299">
        <f t="shared" si="29"/>
        <v>1.5</v>
      </c>
      <c r="J218" s="299">
        <f t="shared" si="29"/>
        <v>1.5</v>
      </c>
      <c r="K218" s="299">
        <f t="shared" si="29"/>
        <v>1.5</v>
      </c>
      <c r="L218" s="299">
        <f t="shared" si="29"/>
        <v>1.5</v>
      </c>
      <c r="M218" s="299">
        <f t="shared" si="29"/>
        <v>1.5</v>
      </c>
      <c r="N218" s="299">
        <f t="shared" si="29"/>
        <v>1.5</v>
      </c>
      <c r="O218" s="299">
        <f t="shared" si="29"/>
        <v>1.5</v>
      </c>
      <c r="P218" s="299">
        <f t="shared" si="29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28"/>
        <v>0</v>
      </c>
      <c r="C219" s="299">
        <v>0.3</v>
      </c>
      <c r="D219" s="299">
        <f t="shared" si="29"/>
        <v>0.3</v>
      </c>
      <c r="E219" s="299">
        <f t="shared" si="29"/>
        <v>0.3</v>
      </c>
      <c r="F219" s="299">
        <f t="shared" si="29"/>
        <v>0.3</v>
      </c>
      <c r="G219" s="299">
        <f t="shared" si="29"/>
        <v>0.3</v>
      </c>
      <c r="H219" s="299">
        <f t="shared" si="29"/>
        <v>0.3</v>
      </c>
      <c r="I219" s="299">
        <f t="shared" si="29"/>
        <v>0.3</v>
      </c>
      <c r="J219" s="299">
        <f t="shared" si="29"/>
        <v>0.3</v>
      </c>
      <c r="K219" s="299">
        <f t="shared" si="29"/>
        <v>0.3</v>
      </c>
      <c r="L219" s="299">
        <f t="shared" si="29"/>
        <v>0.3</v>
      </c>
      <c r="M219" s="299">
        <f t="shared" si="29"/>
        <v>0.3</v>
      </c>
      <c r="N219" s="299">
        <f t="shared" si="29"/>
        <v>0.3</v>
      </c>
      <c r="O219" s="299">
        <f t="shared" si="29"/>
        <v>0.3</v>
      </c>
      <c r="P219" s="299">
        <f t="shared" si="29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28"/>
        <v>0</v>
      </c>
      <c r="C220" s="299">
        <v>0.4</v>
      </c>
      <c r="D220" s="299">
        <f t="shared" si="29"/>
        <v>0.4</v>
      </c>
      <c r="E220" s="299">
        <f t="shared" si="29"/>
        <v>0.4</v>
      </c>
      <c r="F220" s="299">
        <f t="shared" si="29"/>
        <v>0.4</v>
      </c>
      <c r="G220" s="299">
        <f t="shared" si="29"/>
        <v>0.4</v>
      </c>
      <c r="H220" s="299">
        <f t="shared" si="29"/>
        <v>0.4</v>
      </c>
      <c r="I220" s="299">
        <f t="shared" si="29"/>
        <v>0.4</v>
      </c>
      <c r="J220" s="299">
        <f t="shared" si="29"/>
        <v>0.4</v>
      </c>
      <c r="K220" s="299">
        <f t="shared" si="29"/>
        <v>0.4</v>
      </c>
      <c r="L220" s="299">
        <f t="shared" si="29"/>
        <v>0.4</v>
      </c>
      <c r="M220" s="299">
        <f t="shared" si="29"/>
        <v>0.4</v>
      </c>
      <c r="N220" s="299">
        <f t="shared" si="29"/>
        <v>0.4</v>
      </c>
      <c r="O220" s="299">
        <f t="shared" si="29"/>
        <v>0.4</v>
      </c>
      <c r="P220" s="299">
        <f t="shared" si="29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28"/>
        <v>0</v>
      </c>
      <c r="C221" s="303">
        <v>0.64</v>
      </c>
      <c r="D221" s="303">
        <f t="shared" si="29"/>
        <v>0.64</v>
      </c>
      <c r="E221" s="303">
        <f t="shared" si="29"/>
        <v>0.64</v>
      </c>
      <c r="F221" s="303">
        <f t="shared" si="29"/>
        <v>0.64</v>
      </c>
      <c r="G221" s="303">
        <f t="shared" si="29"/>
        <v>0.64</v>
      </c>
      <c r="H221" s="303">
        <f t="shared" si="29"/>
        <v>0.64</v>
      </c>
      <c r="I221" s="303">
        <f t="shared" si="29"/>
        <v>0.64</v>
      </c>
      <c r="J221" s="303">
        <f t="shared" si="29"/>
        <v>0.64</v>
      </c>
      <c r="K221" s="303">
        <f t="shared" si="29"/>
        <v>0.64</v>
      </c>
      <c r="L221" s="303">
        <f t="shared" si="29"/>
        <v>0.64</v>
      </c>
      <c r="M221" s="303">
        <f t="shared" si="29"/>
        <v>0.64</v>
      </c>
      <c r="N221" s="303">
        <f t="shared" si="29"/>
        <v>0.64</v>
      </c>
      <c r="O221" s="303">
        <f t="shared" si="29"/>
        <v>0.64</v>
      </c>
      <c r="P221" s="303">
        <f t="shared" si="29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30">SUM(D216:D221)</f>
        <v>3.54</v>
      </c>
      <c r="E222" s="307">
        <f t="shared" si="30"/>
        <v>3.54</v>
      </c>
      <c r="F222" s="307">
        <f t="shared" si="30"/>
        <v>3.54</v>
      </c>
      <c r="G222" s="307">
        <f t="shared" si="30"/>
        <v>3.54</v>
      </c>
      <c r="H222" s="307">
        <f t="shared" si="30"/>
        <v>3.54</v>
      </c>
      <c r="I222" s="307">
        <f t="shared" si="30"/>
        <v>3.54</v>
      </c>
      <c r="J222" s="307">
        <f t="shared" si="30"/>
        <v>3.54</v>
      </c>
      <c r="K222" s="307">
        <f t="shared" si="30"/>
        <v>3.54</v>
      </c>
      <c r="L222" s="307">
        <f t="shared" si="30"/>
        <v>3.54</v>
      </c>
      <c r="M222" s="307">
        <f>SUM(M216:M221)</f>
        <v>3.54</v>
      </c>
      <c r="N222" s="307">
        <f t="shared" ref="N222:S222" si="31">SUM(N216:N221)</f>
        <v>3.54</v>
      </c>
      <c r="O222" s="307">
        <f t="shared" si="31"/>
        <v>3.54</v>
      </c>
      <c r="P222" s="307">
        <f t="shared" si="31"/>
        <v>3.54</v>
      </c>
      <c r="Q222" s="307">
        <f t="shared" si="31"/>
        <v>0</v>
      </c>
      <c r="R222" s="307">
        <f t="shared" si="31"/>
        <v>0</v>
      </c>
      <c r="S222" s="307">
        <f t="shared" si="31"/>
        <v>0</v>
      </c>
      <c r="T222" s="307">
        <f>SUM(T216:T221)</f>
        <v>0</v>
      </c>
      <c r="U222" s="307">
        <f t="shared" ref="U222:AG222" si="32">SUM(U216:U221)</f>
        <v>0</v>
      </c>
      <c r="V222" s="307">
        <f t="shared" si="32"/>
        <v>0</v>
      </c>
      <c r="W222" s="307">
        <f t="shared" si="32"/>
        <v>0</v>
      </c>
      <c r="X222" s="307">
        <f t="shared" si="32"/>
        <v>0</v>
      </c>
      <c r="Y222" s="307">
        <f t="shared" si="32"/>
        <v>0</v>
      </c>
      <c r="Z222" s="307">
        <f t="shared" si="32"/>
        <v>0</v>
      </c>
      <c r="AA222" s="307">
        <f t="shared" si="32"/>
        <v>0</v>
      </c>
      <c r="AB222" s="307">
        <f t="shared" si="32"/>
        <v>0</v>
      </c>
      <c r="AC222" s="307">
        <f t="shared" si="32"/>
        <v>0</v>
      </c>
      <c r="AD222" s="307">
        <f t="shared" si="32"/>
        <v>0</v>
      </c>
      <c r="AE222" s="307">
        <f t="shared" si="32"/>
        <v>0</v>
      </c>
      <c r="AF222" s="307">
        <f t="shared" si="32"/>
        <v>0</v>
      </c>
      <c r="AG222" s="317">
        <f t="shared" si="32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3.54</v>
      </c>
      <c r="C231" s="333">
        <f>INDEX(G9:N9,1,MATCH(MAX(G79:N79),G79:N79,0))</f>
        <v>0.20833333333333301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Sample_new (3)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e">
        <f ca="1">"Pie Chart of Daily Peak Demand(Inclusive of Export) of Nepal ("&amp;A4&amp;" "&amp;B4&amp;")"</f>
        <v>#VALUE!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e">
        <f ca="1">"Daily Load Curve(Excluding of Export) of Nepal ("&amp;A4&amp;" "&amp;B4&amp;")"</f>
        <v>#VALUE!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33">B79</f>
        <v>3.54</v>
      </c>
      <c r="U236" s="343">
        <f t="shared" si="33"/>
        <v>3.54</v>
      </c>
      <c r="V236" s="343">
        <f t="shared" si="33"/>
        <v>3.54</v>
      </c>
      <c r="W236" s="343">
        <f t="shared" si="33"/>
        <v>3.54</v>
      </c>
      <c r="X236" s="343">
        <f t="shared" si="33"/>
        <v>3.54</v>
      </c>
      <c r="Y236" s="343">
        <f t="shared" si="33"/>
        <v>3.54</v>
      </c>
      <c r="Z236" s="343">
        <f t="shared" si="33"/>
        <v>3.54</v>
      </c>
      <c r="AA236" s="343">
        <f t="shared" si="33"/>
        <v>3.54</v>
      </c>
      <c r="AB236" s="343">
        <f t="shared" si="33"/>
        <v>3.54</v>
      </c>
      <c r="AC236" s="343">
        <f t="shared" si="33"/>
        <v>3.54</v>
      </c>
      <c r="AD236" s="343">
        <f t="shared" si="33"/>
        <v>3.54</v>
      </c>
      <c r="AE236" s="343">
        <f t="shared" si="33"/>
        <v>3.54</v>
      </c>
      <c r="AF236" s="343">
        <f t="shared" si="33"/>
        <v>3.54</v>
      </c>
      <c r="AG236" s="343">
        <f t="shared" si="33"/>
        <v>3.54</v>
      </c>
      <c r="AH236" s="343">
        <f t="shared" si="33"/>
        <v>3.54</v>
      </c>
      <c r="AI236" s="343">
        <f t="shared" si="33"/>
        <v>3.54</v>
      </c>
      <c r="AJ236" s="343">
        <f t="shared" si="33"/>
        <v>3.54</v>
      </c>
      <c r="AK236" s="343">
        <f t="shared" si="33"/>
        <v>3.54</v>
      </c>
      <c r="AL236" s="343">
        <f t="shared" si="33"/>
        <v>3.54</v>
      </c>
      <c r="AM236" s="343">
        <f t="shared" si="33"/>
        <v>3.54</v>
      </c>
      <c r="AN236" s="343">
        <f t="shared" si="33"/>
        <v>3.54</v>
      </c>
      <c r="AO236" s="343">
        <f t="shared" si="33"/>
        <v>3.54</v>
      </c>
      <c r="AP236" s="343">
        <f t="shared" si="33"/>
        <v>3.54</v>
      </c>
      <c r="AQ236" s="343">
        <f t="shared" si="33"/>
        <v>3.54</v>
      </c>
      <c r="AR236" s="343">
        <f t="shared" si="33"/>
        <v>3.54</v>
      </c>
      <c r="AS236" s="343">
        <f t="shared" si="33"/>
        <v>3.54</v>
      </c>
      <c r="AT236" s="343">
        <f t="shared" si="33"/>
        <v>3.54</v>
      </c>
      <c r="AU236" s="343">
        <f t="shared" si="33"/>
        <v>3.54</v>
      </c>
      <c r="AV236" s="343">
        <f t="shared" si="33"/>
        <v>3.54</v>
      </c>
      <c r="AW236" s="343">
        <f t="shared" si="33"/>
        <v>3.54</v>
      </c>
      <c r="AX236" s="343">
        <f t="shared" si="33"/>
        <v>3.54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34">C221</f>
        <v>0.64</v>
      </c>
      <c r="C257" s="346">
        <f t="shared" si="34"/>
        <v>0.64</v>
      </c>
      <c r="D257" s="346">
        <f t="shared" si="34"/>
        <v>0.64</v>
      </c>
      <c r="E257" s="346">
        <f t="shared" si="34"/>
        <v>0.64</v>
      </c>
      <c r="F257" s="346">
        <f t="shared" si="34"/>
        <v>0.64</v>
      </c>
      <c r="G257" s="346">
        <f t="shared" si="34"/>
        <v>0.64</v>
      </c>
      <c r="H257" s="346">
        <f t="shared" si="34"/>
        <v>0.64</v>
      </c>
      <c r="I257" s="346">
        <f t="shared" si="34"/>
        <v>0.64</v>
      </c>
      <c r="J257" s="346">
        <f t="shared" si="34"/>
        <v>0.64</v>
      </c>
      <c r="K257" s="346">
        <f t="shared" si="34"/>
        <v>0.64</v>
      </c>
      <c r="L257" s="346">
        <f t="shared" si="34"/>
        <v>0.64</v>
      </c>
      <c r="M257" s="346">
        <f t="shared" si="34"/>
        <v>0.64</v>
      </c>
      <c r="N257" s="346">
        <f t="shared" si="34"/>
        <v>0.64</v>
      </c>
      <c r="O257" s="346">
        <f t="shared" si="34"/>
        <v>0.64</v>
      </c>
      <c r="P257" s="346">
        <f t="shared" si="34"/>
        <v>0</v>
      </c>
      <c r="Q257" s="346">
        <f t="shared" si="34"/>
        <v>0</v>
      </c>
      <c r="R257" s="346">
        <f t="shared" si="34"/>
        <v>0</v>
      </c>
      <c r="S257" s="346">
        <f t="shared" si="34"/>
        <v>0</v>
      </c>
      <c r="T257" s="346">
        <f t="shared" si="34"/>
        <v>0</v>
      </c>
      <c r="U257" s="346">
        <f t="shared" si="34"/>
        <v>0</v>
      </c>
      <c r="V257" s="346">
        <f t="shared" si="34"/>
        <v>0</v>
      </c>
      <c r="W257" s="346">
        <f t="shared" si="34"/>
        <v>0</v>
      </c>
      <c r="X257" s="346">
        <f t="shared" si="34"/>
        <v>0</v>
      </c>
      <c r="Y257" s="346">
        <f t="shared" si="34"/>
        <v>0</v>
      </c>
      <c r="Z257" s="346">
        <f t="shared" si="34"/>
        <v>0</v>
      </c>
      <c r="AA257" s="346">
        <f t="shared" si="34"/>
        <v>0</v>
      </c>
      <c r="AB257" s="346">
        <f t="shared" si="34"/>
        <v>0</v>
      </c>
      <c r="AC257" s="346">
        <f t="shared" si="34"/>
        <v>0</v>
      </c>
      <c r="AD257" s="346">
        <f t="shared" si="34"/>
        <v>0</v>
      </c>
      <c r="AE257" s="346">
        <f t="shared" si="34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35">IF(C225&lt;100,"",C225-520)</f>
        <v/>
      </c>
      <c r="D258" s="347" t="str">
        <f t="shared" si="35"/>
        <v/>
      </c>
      <c r="E258" s="347" t="str">
        <f t="shared" si="35"/>
        <v/>
      </c>
      <c r="F258" s="347" t="str">
        <f t="shared" si="35"/>
        <v/>
      </c>
      <c r="G258" s="347" t="str">
        <f t="shared" si="35"/>
        <v/>
      </c>
      <c r="H258" s="347" t="str">
        <f t="shared" si="35"/>
        <v/>
      </c>
      <c r="I258" s="347" t="str">
        <f t="shared" si="35"/>
        <v/>
      </c>
      <c r="J258" s="347" t="str">
        <f t="shared" si="35"/>
        <v/>
      </c>
      <c r="K258" s="347" t="str">
        <f t="shared" si="35"/>
        <v/>
      </c>
      <c r="L258" s="347" t="str">
        <f t="shared" si="35"/>
        <v/>
      </c>
      <c r="M258" s="347" t="str">
        <f t="shared" si="35"/>
        <v/>
      </c>
      <c r="N258" s="347" t="str">
        <f t="shared" si="35"/>
        <v/>
      </c>
      <c r="O258" s="347" t="str">
        <f t="shared" si="35"/>
        <v/>
      </c>
      <c r="P258" s="347" t="str">
        <f t="shared" si="35"/>
        <v/>
      </c>
      <c r="Q258" s="347" t="str">
        <f t="shared" si="35"/>
        <v/>
      </c>
      <c r="R258" s="347" t="str">
        <f t="shared" si="35"/>
        <v/>
      </c>
      <c r="S258" s="347" t="str">
        <f t="shared" si="35"/>
        <v/>
      </c>
      <c r="T258" s="347" t="str">
        <f t="shared" si="35"/>
        <v/>
      </c>
      <c r="U258" s="347" t="str">
        <f t="shared" si="35"/>
        <v/>
      </c>
      <c r="V258" s="347" t="str">
        <f t="shared" si="35"/>
        <v/>
      </c>
      <c r="W258" s="347" t="str">
        <f t="shared" si="35"/>
        <v/>
      </c>
      <c r="X258" s="347" t="str">
        <f t="shared" si="35"/>
        <v/>
      </c>
      <c r="Y258" s="347" t="str">
        <f t="shared" si="35"/>
        <v/>
      </c>
      <c r="Z258" s="347" t="str">
        <f t="shared" si="35"/>
        <v/>
      </c>
      <c r="AA258" s="347" t="str">
        <f t="shared" si="35"/>
        <v/>
      </c>
      <c r="AB258" s="347" t="str">
        <f t="shared" si="35"/>
        <v/>
      </c>
      <c r="AC258" s="347" t="str">
        <f t="shared" si="35"/>
        <v/>
      </c>
      <c r="AD258" s="347" t="str">
        <f t="shared" si="35"/>
        <v/>
      </c>
      <c r="AE258" s="347" t="str">
        <f t="shared" si="35"/>
        <v/>
      </c>
      <c r="AF258" s="347" t="str">
        <f t="shared" si="35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36">IF(B226&lt;100,"",B226-620)</f>
        <v/>
      </c>
      <c r="C259" s="347" t="str">
        <f t="shared" si="36"/>
        <v/>
      </c>
      <c r="D259" s="347" t="str">
        <f t="shared" si="36"/>
        <v/>
      </c>
      <c r="E259" s="347" t="str">
        <f t="shared" si="36"/>
        <v/>
      </c>
      <c r="F259" s="347" t="str">
        <f t="shared" si="36"/>
        <v/>
      </c>
      <c r="G259" s="347" t="str">
        <f t="shared" si="36"/>
        <v/>
      </c>
      <c r="H259" s="347" t="str">
        <f t="shared" si="36"/>
        <v/>
      </c>
      <c r="I259" s="347" t="str">
        <f t="shared" si="36"/>
        <v/>
      </c>
      <c r="J259" s="347" t="str">
        <f t="shared" si="36"/>
        <v/>
      </c>
      <c r="K259" s="347" t="str">
        <f t="shared" si="36"/>
        <v/>
      </c>
      <c r="L259" s="347" t="str">
        <f t="shared" si="36"/>
        <v/>
      </c>
      <c r="M259" s="347" t="str">
        <f t="shared" si="36"/>
        <v/>
      </c>
      <c r="N259" s="347" t="str">
        <f t="shared" si="36"/>
        <v/>
      </c>
      <c r="O259" s="347" t="str">
        <f t="shared" si="36"/>
        <v/>
      </c>
      <c r="P259" s="347" t="str">
        <f t="shared" si="36"/>
        <v/>
      </c>
      <c r="Q259" s="347" t="str">
        <f t="shared" si="36"/>
        <v/>
      </c>
      <c r="R259" s="347" t="str">
        <f t="shared" si="36"/>
        <v/>
      </c>
      <c r="S259" s="347" t="str">
        <f t="shared" si="36"/>
        <v/>
      </c>
      <c r="T259" s="347" t="str">
        <f t="shared" si="36"/>
        <v/>
      </c>
      <c r="U259" s="347" t="str">
        <f t="shared" si="36"/>
        <v/>
      </c>
      <c r="V259" s="347" t="str">
        <f t="shared" si="36"/>
        <v/>
      </c>
      <c r="W259" s="347" t="str">
        <f t="shared" si="36"/>
        <v/>
      </c>
      <c r="X259" s="347" t="str">
        <f t="shared" si="36"/>
        <v/>
      </c>
      <c r="Y259" s="347" t="str">
        <f t="shared" si="36"/>
        <v/>
      </c>
      <c r="Z259" s="347" t="str">
        <f t="shared" si="36"/>
        <v/>
      </c>
      <c r="AA259" s="347" t="str">
        <f t="shared" si="36"/>
        <v/>
      </c>
      <c r="AB259" s="347" t="str">
        <f t="shared" si="36"/>
        <v/>
      </c>
      <c r="AC259" s="347" t="str">
        <f t="shared" si="36"/>
        <v/>
      </c>
      <c r="AD259" s="347" t="str">
        <f t="shared" si="36"/>
        <v/>
      </c>
      <c r="AE259" s="347" t="str">
        <f t="shared" si="36"/>
        <v/>
      </c>
      <c r="AF259" s="347" t="str">
        <f t="shared" si="36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37">IF(B227&lt;100,"",B227-330)</f>
        <v/>
      </c>
      <c r="C260" s="347" t="str">
        <f t="shared" si="37"/>
        <v/>
      </c>
      <c r="D260" s="347" t="str">
        <f t="shared" si="37"/>
        <v/>
      </c>
      <c r="E260" s="347" t="str">
        <f t="shared" si="37"/>
        <v/>
      </c>
      <c r="F260" s="347" t="str">
        <f t="shared" si="37"/>
        <v/>
      </c>
      <c r="G260" s="347" t="str">
        <f t="shared" si="37"/>
        <v/>
      </c>
      <c r="H260" s="347" t="str">
        <f t="shared" si="37"/>
        <v/>
      </c>
      <c r="I260" s="347" t="str">
        <f t="shared" si="37"/>
        <v/>
      </c>
      <c r="J260" s="347" t="str">
        <f t="shared" si="37"/>
        <v/>
      </c>
      <c r="K260" s="347" t="str">
        <f t="shared" si="37"/>
        <v/>
      </c>
      <c r="L260" s="347" t="str">
        <f t="shared" si="37"/>
        <v/>
      </c>
      <c r="M260" s="347" t="str">
        <f t="shared" si="37"/>
        <v/>
      </c>
      <c r="N260" s="347" t="str">
        <f t="shared" si="37"/>
        <v/>
      </c>
      <c r="O260" s="347" t="str">
        <f t="shared" si="37"/>
        <v/>
      </c>
      <c r="P260" s="347" t="str">
        <f t="shared" si="37"/>
        <v/>
      </c>
      <c r="Q260" s="347" t="str">
        <f t="shared" si="37"/>
        <v/>
      </c>
      <c r="R260" s="347" t="str">
        <f t="shared" si="37"/>
        <v/>
      </c>
      <c r="S260" s="347" t="str">
        <f t="shared" si="37"/>
        <v/>
      </c>
      <c r="T260" s="347" t="str">
        <f t="shared" si="37"/>
        <v/>
      </c>
      <c r="U260" s="347" t="str">
        <f t="shared" si="37"/>
        <v/>
      </c>
      <c r="V260" s="347" t="str">
        <f t="shared" si="37"/>
        <v/>
      </c>
      <c r="W260" s="347" t="str">
        <f t="shared" si="37"/>
        <v/>
      </c>
      <c r="X260" s="347" t="str">
        <f t="shared" si="37"/>
        <v/>
      </c>
      <c r="Y260" s="347" t="str">
        <f t="shared" si="37"/>
        <v/>
      </c>
      <c r="Z260" s="347" t="str">
        <f t="shared" si="37"/>
        <v/>
      </c>
      <c r="AA260" s="347" t="str">
        <f t="shared" si="37"/>
        <v/>
      </c>
      <c r="AB260" s="347" t="str">
        <f t="shared" si="37"/>
        <v/>
      </c>
      <c r="AC260" s="347" t="str">
        <f t="shared" si="37"/>
        <v/>
      </c>
      <c r="AD260" s="347" t="str">
        <f t="shared" si="37"/>
        <v/>
      </c>
      <c r="AE260" s="347" t="str">
        <f t="shared" si="37"/>
        <v/>
      </c>
      <c r="AF260" s="347" t="str">
        <f t="shared" si="37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38">IF(C228&lt;100,"",C228-1500)</f>
        <v/>
      </c>
      <c r="D261" s="347" t="str">
        <f t="shared" si="38"/>
        <v/>
      </c>
      <c r="E261" s="347" t="str">
        <f t="shared" si="38"/>
        <v/>
      </c>
      <c r="F261" s="347" t="str">
        <f t="shared" si="38"/>
        <v/>
      </c>
      <c r="G261" s="347" t="str">
        <f t="shared" si="38"/>
        <v/>
      </c>
      <c r="H261" s="347" t="str">
        <f t="shared" si="38"/>
        <v/>
      </c>
      <c r="I261" s="347" t="str">
        <f t="shared" si="38"/>
        <v/>
      </c>
      <c r="J261" s="347" t="str">
        <f t="shared" si="38"/>
        <v/>
      </c>
      <c r="K261" s="347" t="str">
        <f t="shared" si="38"/>
        <v/>
      </c>
      <c r="L261" s="347" t="str">
        <f t="shared" si="38"/>
        <v/>
      </c>
      <c r="M261" s="347" t="str">
        <f t="shared" si="38"/>
        <v/>
      </c>
      <c r="N261" s="347" t="str">
        <f t="shared" si="38"/>
        <v/>
      </c>
      <c r="O261" s="347" t="str">
        <f t="shared" si="38"/>
        <v/>
      </c>
      <c r="P261" s="347" t="str">
        <f t="shared" si="38"/>
        <v/>
      </c>
      <c r="Q261" s="347" t="str">
        <f t="shared" si="38"/>
        <v/>
      </c>
      <c r="R261" s="347" t="str">
        <f t="shared" si="38"/>
        <v/>
      </c>
      <c r="S261" s="347" t="str">
        <f t="shared" si="38"/>
        <v/>
      </c>
      <c r="T261" s="347" t="str">
        <f t="shared" si="38"/>
        <v/>
      </c>
      <c r="U261" s="347" t="str">
        <f t="shared" si="38"/>
        <v/>
      </c>
      <c r="V261" s="347" t="str">
        <f t="shared" si="38"/>
        <v/>
      </c>
      <c r="W261" s="347" t="str">
        <f t="shared" si="38"/>
        <v/>
      </c>
      <c r="X261" s="347" t="str">
        <f t="shared" si="38"/>
        <v/>
      </c>
      <c r="Y261" s="347" t="str">
        <f t="shared" si="38"/>
        <v/>
      </c>
      <c r="Z261" s="347" t="str">
        <f t="shared" si="38"/>
        <v/>
      </c>
      <c r="AA261" s="347" t="str">
        <f t="shared" si="38"/>
        <v/>
      </c>
      <c r="AB261" s="347" t="str">
        <f t="shared" si="38"/>
        <v/>
      </c>
      <c r="AC261" s="347" t="str">
        <f t="shared" si="38"/>
        <v/>
      </c>
      <c r="AD261" s="347" t="str">
        <f t="shared" si="38"/>
        <v/>
      </c>
      <c r="AE261" s="347" t="str">
        <f t="shared" si="38"/>
        <v/>
      </c>
      <c r="AF261" s="347" t="str">
        <f t="shared" si="38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C99:AF99 T11:AF11 B9:AF10 C101:AF106">
    <cfRule type="expression" dxfId="6812" priority="241">
      <formula>B$9&gt;=20/24</formula>
    </cfRule>
    <cfRule type="expression" dxfId="6811" priority="242">
      <formula>AND(B$9&gt;=14/24,B$9&lt;20/24)</formula>
    </cfRule>
    <cfRule type="expression" dxfId="6810" priority="243">
      <formula>AND(B$9&gt;=8/24,B$9&lt;14/24)</formula>
    </cfRule>
    <cfRule type="expression" dxfId="6809" priority="244">
      <formula>B$9&lt;8/24</formula>
    </cfRule>
  </conditionalFormatting>
  <conditionalFormatting sqref="AL4:AL6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6808" priority="236">
      <formula>S$9&gt;=20/24</formula>
    </cfRule>
    <cfRule type="expression" dxfId="6807" priority="237">
      <formula>AND(S$9&gt;=14/24,S$9&lt;20/24)</formula>
    </cfRule>
    <cfRule type="expression" dxfId="6806" priority="238">
      <formula>AND(S$9&gt;=8/24,S$9&lt;14/24)</formula>
    </cfRule>
    <cfRule type="expression" dxfId="6805" priority="239">
      <formula>S$9&lt;8/24</formula>
    </cfRule>
  </conditionalFormatting>
  <conditionalFormatting sqref="AG55 S37:AF37 J11:AF11 O12:AF16 C11:D16 E16:N16 B12:B16 B35:AF35">
    <cfRule type="expression" dxfId="6804" priority="235">
      <formula>B11&gt;$AG11</formula>
    </cfRule>
  </conditionalFormatting>
  <conditionalFormatting sqref="A89:A99 A11:A14 A49:A76 A85:A87 A192:A222 A16:A30 A36:A47 A108:A179 A32:A33 A81:A83 A78:A79 A101:A103">
    <cfRule type="expression" dxfId="6803" priority="234">
      <formula>$AH11=0</formula>
    </cfRule>
  </conditionalFormatting>
  <conditionalFormatting sqref="A104">
    <cfRule type="expression" dxfId="6802" priority="233">
      <formula>$AH104=0</formula>
    </cfRule>
  </conditionalFormatting>
  <conditionalFormatting sqref="AL3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801" priority="231">
      <formula>$AH35=0</formula>
    </cfRule>
  </conditionalFormatting>
  <conditionalFormatting sqref="A88">
    <cfRule type="expression" dxfId="6800" priority="230">
      <formula>$AH88=0</formula>
    </cfRule>
  </conditionalFormatting>
  <conditionalFormatting sqref="A15">
    <cfRule type="expression" dxfId="6799" priority="229">
      <formula>$AH15=0</formula>
    </cfRule>
  </conditionalFormatting>
  <conditionalFormatting sqref="A186:A191">
    <cfRule type="expression" dxfId="6798" priority="228">
      <formula>$AH186=0</formula>
    </cfRule>
  </conditionalFormatting>
  <conditionalFormatting sqref="A180:A185">
    <cfRule type="expression" dxfId="6797" priority="227">
      <formula>$AH180=0</formula>
    </cfRule>
  </conditionalFormatting>
  <conditionalFormatting sqref="A48">
    <cfRule type="expression" dxfId="6796" priority="226">
      <formula>$AH48=0</formula>
    </cfRule>
  </conditionalFormatting>
  <conditionalFormatting sqref="A84">
    <cfRule type="expression" dxfId="6795" priority="225">
      <formula>$AH84=0</formula>
    </cfRule>
  </conditionalFormatting>
  <conditionalFormatting sqref="C89:AF89">
    <cfRule type="expression" dxfId="6794" priority="221">
      <formula>C$9&gt;=20/24</formula>
    </cfRule>
    <cfRule type="expression" dxfId="6793" priority="222">
      <formula>AND(C$9&gt;=14/24,C$9&lt;20/24)</formula>
    </cfRule>
    <cfRule type="expression" dxfId="6792" priority="223">
      <formula>AND(C$9&gt;=8/24,C$9&lt;14/24)</formula>
    </cfRule>
    <cfRule type="expression" dxfId="6791" priority="224">
      <formula>C$9&lt;8/24</formula>
    </cfRule>
  </conditionalFormatting>
  <conditionalFormatting sqref="AL34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90" priority="247">
      <formula>C$9&gt;=20/24</formula>
    </cfRule>
    <cfRule type="expression" dxfId="6789" priority="248">
      <formula>AND(C$9&gt;=14/24,C$9&lt;20/24)</formula>
    </cfRule>
    <cfRule type="expression" dxfId="6788" priority="249">
      <formula>AND(C$9&gt;=8/24,C$9&lt;14/24)</formula>
    </cfRule>
    <cfRule type="expression" dxfId="6787" priority="250">
      <formula>C$9&lt;8/24</formula>
    </cfRule>
  </conditionalFormatting>
  <conditionalFormatting sqref="A223">
    <cfRule type="expression" dxfId="6786" priority="251">
      <formula>$AH223=0</formula>
    </cfRule>
  </conditionalFormatting>
  <conditionalFormatting sqref="AG235">
    <cfRule type="expression" dxfId="6785" priority="252">
      <formula>B$9&gt;=20/24</formula>
    </cfRule>
    <cfRule type="expression" dxfId="6784" priority="253">
      <formula>AND(B$9&gt;=14/24,B$9&lt;20/24)</formula>
    </cfRule>
    <cfRule type="expression" dxfId="6783" priority="254">
      <formula>AND(B$9&gt;=8/24,B$9&lt;14/24)</formula>
    </cfRule>
    <cfRule type="expression" dxfId="6782" priority="255">
      <formula>B$9&lt;8/24</formula>
    </cfRule>
  </conditionalFormatting>
  <conditionalFormatting sqref="S8">
    <cfRule type="expression" dxfId="6781" priority="216">
      <formula>U$9&gt;=20/24</formula>
    </cfRule>
    <cfRule type="expression" dxfId="6780" priority="217">
      <formula>AND(U$9&gt;=14/24,U$9&lt;20/24)</formula>
    </cfRule>
    <cfRule type="expression" dxfId="6779" priority="218">
      <formula>AND(U$9&gt;=8/24,U$9&lt;14/24)</formula>
    </cfRule>
    <cfRule type="expression" dxfId="6778" priority="219">
      <formula>U$9&lt;8/24</formula>
    </cfRule>
  </conditionalFormatting>
  <conditionalFormatting sqref="AB8">
    <cfRule type="expression" dxfId="6777" priority="212">
      <formula>AD$9&gt;=20/24</formula>
    </cfRule>
    <cfRule type="expression" dxfId="6776" priority="213">
      <formula>AND(AD$9&gt;=14/24,AD$9&lt;20/24)</formula>
    </cfRule>
    <cfRule type="expression" dxfId="6775" priority="214">
      <formula>AND(AD$9&gt;=8/24,AD$9&lt;14/24)</formula>
    </cfRule>
    <cfRule type="expression" dxfId="6774" priority="215">
      <formula>AD$9&lt;8/24</formula>
    </cfRule>
  </conditionalFormatting>
  <conditionalFormatting sqref="AH235:AX235">
    <cfRule type="expression" dxfId="6773" priority="256">
      <formula>AG$9&gt;=20/24</formula>
    </cfRule>
    <cfRule type="expression" dxfId="6772" priority="257">
      <formula>AND(AG$9&gt;=14/24,AG$9&lt;20/24)</formula>
    </cfRule>
    <cfRule type="expression" dxfId="6771" priority="258">
      <formula>AND(AG$9&gt;=8/24,AG$9&lt;14/24)</formula>
    </cfRule>
    <cfRule type="expression" dxfId="6770" priority="259">
      <formula>AG$9&lt;8/24</formula>
    </cfRule>
  </conditionalFormatting>
  <conditionalFormatting sqref="T235">
    <cfRule type="expression" dxfId="6769" priority="260">
      <formula>AX$9&gt;=20/24</formula>
    </cfRule>
    <cfRule type="expression" dxfId="6768" priority="261">
      <formula>AND(AX$9&gt;=14/24,AX$9&lt;20/24)</formula>
    </cfRule>
    <cfRule type="expression" dxfId="6767" priority="262">
      <formula>AND(AX$9&gt;=8/24,AX$9&lt;14/24)</formula>
    </cfRule>
    <cfRule type="expression" dxfId="6766" priority="263">
      <formula>AX$9&lt;8/24</formula>
    </cfRule>
  </conditionalFormatting>
  <conditionalFormatting sqref="A105:A106">
    <cfRule type="expression" dxfId="6765" priority="211">
      <formula>$AH105=0</formula>
    </cfRule>
  </conditionalFormatting>
  <conditionalFormatting sqref="E11:I11 E44:L45 S44:W45 Y44:AF45 Z36:AF36 C61:AF61">
    <cfRule type="expression" dxfId="6764" priority="207">
      <formula>C$9&gt;=20/24</formula>
    </cfRule>
    <cfRule type="expression" dxfId="6763" priority="208">
      <formula>AND(C$9&gt;=14/24,C$9&lt;20/24)</formula>
    </cfRule>
    <cfRule type="expression" dxfId="6762" priority="209">
      <formula>AND(C$9&gt;=8/24,C$9&lt;14/24)</formula>
    </cfRule>
    <cfRule type="expression" dxfId="6761" priority="210">
      <formula>C$9&lt;8/24</formula>
    </cfRule>
  </conditionalFormatting>
  <conditionalFormatting sqref="E43:L43 S43:W43 Y43:AF43">
    <cfRule type="expression" dxfId="6760" priority="203">
      <formula>E$9&gt;=20/24</formula>
    </cfRule>
    <cfRule type="expression" dxfId="6759" priority="204">
      <formula>AND(E$9&gt;=14/24,E$9&lt;20/24)</formula>
    </cfRule>
    <cfRule type="expression" dxfId="6758" priority="205">
      <formula>AND(E$9&gt;=8/24,E$9&lt;14/24)</formula>
    </cfRule>
    <cfRule type="expression" dxfId="6757" priority="206">
      <formula>E$9&lt;8/24</formula>
    </cfRule>
  </conditionalFormatting>
  <conditionalFormatting sqref="E11:I11 E43:L45 S43:W45 Y43:AF45 Z36:AF36">
    <cfRule type="expression" dxfId="6756" priority="202">
      <formula>E11&gt;$AG11</formula>
    </cfRule>
  </conditionalFormatting>
  <conditionalFormatting sqref="M11:R11 C36:Y36 C86:AF86 C62:AE63 C73:AF76 M68:M70 C71:M71 C66:M67 N66:O71 C65:O65 P65:W71 C64:W64 C90:AF96 X64:AE71 E12:AF14 M16:AF16 M18:AF22 M24:AF26 C57:AF59 AF62:AF71 M37:R37 M28:AF32">
    <cfRule type="expression" dxfId="6755" priority="198">
      <formula>C$9&gt;=20/24</formula>
    </cfRule>
    <cfRule type="expression" dxfId="6754" priority="199">
      <formula>AND(C$9&gt;=14/24,C$9&lt;20/24)</formula>
    </cfRule>
    <cfRule type="expression" dxfId="6753" priority="200">
      <formula>AND(C$9&gt;=8/24,C$9&lt;14/24)</formula>
    </cfRule>
    <cfRule type="expression" dxfId="6752" priority="201">
      <formula>C$9&lt;8/24</formula>
    </cfRule>
  </conditionalFormatting>
  <conditionalFormatting sqref="M33:AF33">
    <cfRule type="expression" dxfId="6751" priority="194">
      <formula>M$9&gt;=20/24</formula>
    </cfRule>
    <cfRule type="expression" dxfId="6750" priority="195">
      <formula>AND(M$9&gt;=14/24,M$9&lt;20/24)</formula>
    </cfRule>
    <cfRule type="expression" dxfId="6749" priority="196">
      <formula>AND(M$9&gt;=8/24,M$9&lt;14/24)</formula>
    </cfRule>
    <cfRule type="expression" dxfId="6748" priority="197">
      <formula>M$9&lt;8/24</formula>
    </cfRule>
  </conditionalFormatting>
  <conditionalFormatting sqref="E46:G47 M11:R11 C36:Y36 F48:G48 E12:N15 H46:L48 AB46:AF47 M18:AF22 C55:AF55 C57:AF59 C37:R37 M24:AF33">
    <cfRule type="expression" dxfId="6747" priority="193">
      <formula>C11&gt;$AG11</formula>
    </cfRule>
  </conditionalFormatting>
  <conditionalFormatting sqref="M35:AF35">
    <cfRule type="expression" dxfId="6746" priority="189">
      <formula>M$9&gt;=20/24</formula>
    </cfRule>
    <cfRule type="expression" dxfId="6745" priority="190">
      <formula>AND(M$9&gt;=14/24,M$9&lt;20/24)</formula>
    </cfRule>
    <cfRule type="expression" dxfId="6744" priority="191">
      <formula>AND(M$9&gt;=8/24,M$9&lt;14/24)</formula>
    </cfRule>
    <cfRule type="expression" dxfId="6743" priority="192">
      <formula>M$9&lt;8/24</formula>
    </cfRule>
  </conditionalFormatting>
  <conditionalFormatting sqref="E15:AF15">
    <cfRule type="expression" dxfId="6742" priority="185">
      <formula>E$9&gt;=20/24</formula>
    </cfRule>
    <cfRule type="expression" dxfId="6741" priority="186">
      <formula>AND(E$9&gt;=14/24,E$9&lt;20/24)</formula>
    </cfRule>
    <cfRule type="expression" dxfId="6740" priority="187">
      <formula>AND(E$9&gt;=8/24,E$9&lt;14/24)</formula>
    </cfRule>
    <cfRule type="expression" dxfId="6739" priority="188">
      <formula>E$9&lt;8/24</formula>
    </cfRule>
  </conditionalFormatting>
  <conditionalFormatting sqref="M34:AF34">
    <cfRule type="expression" dxfId="6738" priority="181">
      <formula>M$9&gt;=20/24</formula>
    </cfRule>
    <cfRule type="expression" dxfId="6737" priority="182">
      <formula>AND(M$9&gt;=14/24,M$9&lt;20/24)</formula>
    </cfRule>
    <cfRule type="expression" dxfId="6736" priority="183">
      <formula>AND(M$9&gt;=8/24,M$9&lt;14/24)</formula>
    </cfRule>
    <cfRule type="expression" dxfId="6735" priority="184">
      <formula>M$9&lt;8/24</formula>
    </cfRule>
  </conditionalFormatting>
  <conditionalFormatting sqref="M34:AF34">
    <cfRule type="expression" dxfId="6734" priority="180">
      <formula>M34&gt;$AG34</formula>
    </cfRule>
  </conditionalFormatting>
  <conditionalFormatting sqref="S11">
    <cfRule type="expression" dxfId="6733" priority="176">
      <formula>S$9&gt;=20/24</formula>
    </cfRule>
    <cfRule type="expression" dxfId="6732" priority="177">
      <formula>AND(S$9&gt;=14/24,S$9&lt;20/24)</formula>
    </cfRule>
    <cfRule type="expression" dxfId="6731" priority="178">
      <formula>AND(S$9&gt;=8/24,S$9&lt;14/24)</formula>
    </cfRule>
    <cfRule type="expression" dxfId="6730" priority="179">
      <formula>S$9&lt;8/24</formula>
    </cfRule>
  </conditionalFormatting>
  <conditionalFormatting sqref="V46:AA47 AB48:AF54">
    <cfRule type="expression" dxfId="6729" priority="172">
      <formula>V$9&gt;=20/24</formula>
    </cfRule>
    <cfRule type="expression" dxfId="6728" priority="173">
      <formula>AND(V$9&gt;=14/24,V$9&lt;20/24)</formula>
    </cfRule>
    <cfRule type="expression" dxfId="6727" priority="174">
      <formula>AND(V$9&gt;=8/24,V$9&lt;14/24)</formula>
    </cfRule>
    <cfRule type="expression" dxfId="6726" priority="175">
      <formula>V$9&lt;8/24</formula>
    </cfRule>
  </conditionalFormatting>
  <conditionalFormatting sqref="V46:AA47 AB48:AF54">
    <cfRule type="expression" dxfId="6725" priority="171">
      <formula>V46&gt;$AG46</formula>
    </cfRule>
  </conditionalFormatting>
  <conditionalFormatting sqref="M43:R54 S46:U54 V48:AA54">
    <cfRule type="expression" dxfId="6724" priority="167">
      <formula>M$9&gt;=20/24</formula>
    </cfRule>
    <cfRule type="expression" dxfId="6723" priority="168">
      <formula>AND(M$9&gt;=14/24,M$9&lt;20/24)</formula>
    </cfRule>
    <cfRule type="expression" dxfId="6722" priority="169">
      <formula>AND(M$9&gt;=8/24,M$9&lt;14/24)</formula>
    </cfRule>
    <cfRule type="expression" dxfId="6721" priority="170">
      <formula>M$9&lt;8/24</formula>
    </cfRule>
  </conditionalFormatting>
  <conditionalFormatting sqref="M43:R54 S46:U54 V48:AA54">
    <cfRule type="expression" dxfId="6720" priority="166">
      <formula>M43&gt;$AG43</formula>
    </cfRule>
  </conditionalFormatting>
  <conditionalFormatting sqref="M27:AF27">
    <cfRule type="expression" dxfId="6719" priority="162">
      <formula>M$9&gt;=20/24</formula>
    </cfRule>
    <cfRule type="expression" dxfId="6718" priority="163">
      <formula>AND(M$9&gt;=14/24,M$9&lt;20/24)</formula>
    </cfRule>
    <cfRule type="expression" dxfId="6717" priority="164">
      <formula>AND(M$9&gt;=8/24,M$9&lt;14/24)</formula>
    </cfRule>
    <cfRule type="expression" dxfId="6716" priority="165">
      <formula>M$9&lt;8/24</formula>
    </cfRule>
  </conditionalFormatting>
  <conditionalFormatting sqref="C11:D14 C16:L16 C18:L22 C17:AF17 C23:AF23 C24:L32">
    <cfRule type="expression" dxfId="6715" priority="158">
      <formula>C$9&gt;=20/24</formula>
    </cfRule>
    <cfRule type="expression" dxfId="6714" priority="159">
      <formula>AND(C$9&gt;=14/24,C$9&lt;20/24)</formula>
    </cfRule>
    <cfRule type="expression" dxfId="6713" priority="160">
      <formula>AND(C$9&gt;=8/24,C$9&lt;14/24)</formula>
    </cfRule>
    <cfRule type="expression" dxfId="6712" priority="161">
      <formula>C$9&lt;8/24</formula>
    </cfRule>
  </conditionalFormatting>
  <conditionalFormatting sqref="C33:L33">
    <cfRule type="expression" dxfId="6711" priority="154">
      <formula>C$9&gt;=20/24</formula>
    </cfRule>
    <cfRule type="expression" dxfId="6710" priority="155">
      <formula>AND(C$9&gt;=14/24,C$9&lt;20/24)</formula>
    </cfRule>
    <cfRule type="expression" dxfId="6709" priority="156">
      <formula>AND(C$9&gt;=8/24,C$9&lt;14/24)</formula>
    </cfRule>
    <cfRule type="expression" dxfId="6708" priority="157">
      <formula>C$9&lt;8/24</formula>
    </cfRule>
  </conditionalFormatting>
  <conditionalFormatting sqref="C18:L22 C17:AF17 C23:AF23 C24:L33">
    <cfRule type="expression" dxfId="6707" priority="153">
      <formula>C17&gt;$AG17</formula>
    </cfRule>
  </conditionalFormatting>
  <conditionalFormatting sqref="C35:L35">
    <cfRule type="expression" dxfId="6706" priority="149">
      <formula>C$9&gt;=20/24</formula>
    </cfRule>
    <cfRule type="expression" dxfId="6705" priority="150">
      <formula>AND(C$9&gt;=14/24,C$9&lt;20/24)</formula>
    </cfRule>
    <cfRule type="expression" dxfId="6704" priority="151">
      <formula>AND(C$9&gt;=8/24,C$9&lt;14/24)</formula>
    </cfRule>
    <cfRule type="expression" dxfId="6703" priority="152">
      <formula>C$9&lt;8/24</formula>
    </cfRule>
  </conditionalFormatting>
  <conditionalFormatting sqref="C15:D15">
    <cfRule type="expression" dxfId="6702" priority="145">
      <formula>C$9&gt;=20/24</formula>
    </cfRule>
    <cfRule type="expression" dxfId="6701" priority="146">
      <formula>AND(C$9&gt;=14/24,C$9&lt;20/24)</formula>
    </cfRule>
    <cfRule type="expression" dxfId="6700" priority="147">
      <formula>AND(C$9&gt;=8/24,C$9&lt;14/24)</formula>
    </cfRule>
    <cfRule type="expression" dxfId="6699" priority="148">
      <formula>C$9&lt;8/24</formula>
    </cfRule>
  </conditionalFormatting>
  <conditionalFormatting sqref="C34:L34">
    <cfRule type="expression" dxfId="6698" priority="141">
      <formula>C$9&gt;=20/24</formula>
    </cfRule>
    <cfRule type="expression" dxfId="6697" priority="142">
      <formula>AND(C$9&gt;=14/24,C$9&lt;20/24)</formula>
    </cfRule>
    <cfRule type="expression" dxfId="6696" priority="143">
      <formula>AND(C$9&gt;=8/24,C$9&lt;14/24)</formula>
    </cfRule>
    <cfRule type="expression" dxfId="6695" priority="144">
      <formula>C$9&lt;8/24</formula>
    </cfRule>
  </conditionalFormatting>
  <conditionalFormatting sqref="C34:L34">
    <cfRule type="expression" dxfId="6694" priority="140">
      <formula>C34&gt;$AG34</formula>
    </cfRule>
  </conditionalFormatting>
  <conditionalFormatting sqref="C44:D45">
    <cfRule type="expression" dxfId="6693" priority="136">
      <formula>C$9&gt;=20/24</formula>
    </cfRule>
    <cfRule type="expression" dxfId="6692" priority="137">
      <formula>AND(C$9&gt;=14/24,C$9&lt;20/24)</formula>
    </cfRule>
    <cfRule type="expression" dxfId="6691" priority="138">
      <formula>AND(C$9&gt;=8/24,C$9&lt;14/24)</formula>
    </cfRule>
    <cfRule type="expression" dxfId="6690" priority="139">
      <formula>C$9&lt;8/24</formula>
    </cfRule>
  </conditionalFormatting>
  <conditionalFormatting sqref="C43:D43">
    <cfRule type="expression" dxfId="6689" priority="132">
      <formula>C$9&gt;=20/24</formula>
    </cfRule>
    <cfRule type="expression" dxfId="6688" priority="133">
      <formula>AND(C$9&gt;=14/24,C$9&lt;20/24)</formula>
    </cfRule>
    <cfRule type="expression" dxfId="6687" priority="134">
      <formula>AND(C$9&gt;=8/24,C$9&lt;14/24)</formula>
    </cfRule>
    <cfRule type="expression" dxfId="6686" priority="135">
      <formula>C$9&lt;8/24</formula>
    </cfRule>
  </conditionalFormatting>
  <conditionalFormatting sqref="C43:D45">
    <cfRule type="expression" dxfId="6685" priority="131">
      <formula>C43&gt;$AG43</formula>
    </cfRule>
  </conditionalFormatting>
  <conditionalFormatting sqref="C68:L70">
    <cfRule type="expression" dxfId="6684" priority="127">
      <formula>C$9&gt;=20/24</formula>
    </cfRule>
    <cfRule type="expression" dxfId="6683" priority="128">
      <formula>AND(C$9&gt;=14/24,C$9&lt;20/24)</formula>
    </cfRule>
    <cfRule type="expression" dxfId="6682" priority="129">
      <formula>AND(C$9&gt;=8/24,C$9&lt;14/24)</formula>
    </cfRule>
    <cfRule type="expression" dxfId="6681" priority="130">
      <formula>C$9&lt;8/24</formula>
    </cfRule>
  </conditionalFormatting>
  <conditionalFormatting sqref="C46:D47">
    <cfRule type="expression" dxfId="6680" priority="126">
      <formula>C46&gt;$AG46</formula>
    </cfRule>
  </conditionalFormatting>
  <conditionalFormatting sqref="C48:E54 F49:L54">
    <cfRule type="expression" dxfId="6679" priority="122">
      <formula>C$9&gt;=20/24</formula>
    </cfRule>
    <cfRule type="expression" dxfId="6678" priority="123">
      <formula>AND(C$9&gt;=14/24,C$9&lt;20/24)</formula>
    </cfRule>
    <cfRule type="expression" dxfId="6677" priority="124">
      <formula>AND(C$9&gt;=8/24,C$9&lt;14/24)</formula>
    </cfRule>
    <cfRule type="expression" dxfId="6676" priority="125">
      <formula>C$9&lt;8/24</formula>
    </cfRule>
  </conditionalFormatting>
  <conditionalFormatting sqref="C48:E54 F49:L54">
    <cfRule type="expression" dxfId="6675" priority="121">
      <formula>C48&gt;$AG48</formula>
    </cfRule>
  </conditionalFormatting>
  <conditionalFormatting sqref="X44:X45">
    <cfRule type="expression" dxfId="6674" priority="117">
      <formula>X$9&gt;=20/24</formula>
    </cfRule>
    <cfRule type="expression" dxfId="6673" priority="118">
      <formula>AND(X$9&gt;=14/24,X$9&lt;20/24)</formula>
    </cfRule>
    <cfRule type="expression" dxfId="6672" priority="119">
      <formula>AND(X$9&gt;=8/24,X$9&lt;14/24)</formula>
    </cfRule>
    <cfRule type="expression" dxfId="6671" priority="120">
      <formula>X$9&lt;8/24</formula>
    </cfRule>
  </conditionalFormatting>
  <conditionalFormatting sqref="X43">
    <cfRule type="expression" dxfId="6670" priority="113">
      <formula>X$9&gt;=20/24</formula>
    </cfRule>
    <cfRule type="expression" dxfId="6669" priority="114">
      <formula>AND(X$9&gt;=14/24,X$9&lt;20/24)</formula>
    </cfRule>
    <cfRule type="expression" dxfId="6668" priority="115">
      <formula>AND(X$9&gt;=8/24,X$9&lt;14/24)</formula>
    </cfRule>
    <cfRule type="expression" dxfId="6667" priority="116">
      <formula>X$9&lt;8/24</formula>
    </cfRule>
  </conditionalFormatting>
  <conditionalFormatting sqref="X43:X45">
    <cfRule type="expression" dxfId="6666" priority="112">
      <formula>X43&gt;$AG43</formula>
    </cfRule>
  </conditionalFormatting>
  <conditionalFormatting sqref="B99 B11 B78:AF78 B87:AF87 B101:B106">
    <cfRule type="expression" dxfId="6665" priority="108">
      <formula>B$9&gt;=20/24</formula>
    </cfRule>
    <cfRule type="expression" dxfId="6664" priority="109">
      <formula>AND(B$9&gt;=14/24,B$9&lt;20/24)</formula>
    </cfRule>
    <cfRule type="expression" dxfId="6663" priority="110">
      <formula>AND(B$9&gt;=8/24,B$9&lt;14/24)</formula>
    </cfRule>
    <cfRule type="expression" dxfId="6662" priority="111">
      <formula>B$9&lt;8/24</formula>
    </cfRule>
  </conditionalFormatting>
  <conditionalFormatting sqref="B37">
    <cfRule type="expression" dxfId="6661" priority="104">
      <formula>B$9&gt;=20/24</formula>
    </cfRule>
    <cfRule type="expression" dxfId="6660" priority="105">
      <formula>AND(B$9&gt;=14/24,B$9&lt;20/24)</formula>
    </cfRule>
    <cfRule type="expression" dxfId="6659" priority="106">
      <formula>AND(B$9&gt;=8/24,B$9&lt;14/24)</formula>
    </cfRule>
    <cfRule type="expression" dxfId="6658" priority="107">
      <formula>B$9&lt;8/24</formula>
    </cfRule>
  </conditionalFormatting>
  <conditionalFormatting sqref="B37 B11">
    <cfRule type="expression" dxfId="6657" priority="103">
      <formula>B11&gt;$AG11</formula>
    </cfRule>
  </conditionalFormatting>
  <conditionalFormatting sqref="B89">
    <cfRule type="expression" dxfId="6656" priority="99">
      <formula>B$9&gt;=20/24</formula>
    </cfRule>
    <cfRule type="expression" dxfId="6655" priority="100">
      <formula>AND(B$9&gt;=14/24,B$9&lt;20/24)</formula>
    </cfRule>
    <cfRule type="expression" dxfId="6654" priority="101">
      <formula>AND(B$9&gt;=8/24,B$9&lt;14/24)</formula>
    </cfRule>
    <cfRule type="expression" dxfId="6653" priority="102">
      <formula>B$9&lt;8/24</formula>
    </cfRule>
  </conditionalFormatting>
  <conditionalFormatting sqref="B44:B45 B36 B61">
    <cfRule type="expression" dxfId="6652" priority="95">
      <formula>B$9&gt;=20/24</formula>
    </cfRule>
    <cfRule type="expression" dxfId="6651" priority="96">
      <formula>AND(B$9&gt;=14/24,B$9&lt;20/24)</formula>
    </cfRule>
    <cfRule type="expression" dxfId="6650" priority="97">
      <formula>AND(B$9&gt;=8/24,B$9&lt;14/24)</formula>
    </cfRule>
    <cfRule type="expression" dxfId="6649" priority="98">
      <formula>B$9&lt;8/24</formula>
    </cfRule>
  </conditionalFormatting>
  <conditionalFormatting sqref="B43">
    <cfRule type="expression" dxfId="6648" priority="91">
      <formula>B$9&gt;=20/24</formula>
    </cfRule>
    <cfRule type="expression" dxfId="6647" priority="92">
      <formula>AND(B$9&gt;=14/24,B$9&lt;20/24)</formula>
    </cfRule>
    <cfRule type="expression" dxfId="6646" priority="93">
      <formula>AND(B$9&gt;=8/24,B$9&lt;14/24)</formula>
    </cfRule>
    <cfRule type="expression" dxfId="6645" priority="94">
      <formula>B$9&lt;8/24</formula>
    </cfRule>
  </conditionalFormatting>
  <conditionalFormatting sqref="B43:B45 B36">
    <cfRule type="expression" dxfId="6644" priority="90">
      <formula>B36&gt;$AG36</formula>
    </cfRule>
  </conditionalFormatting>
  <conditionalFormatting sqref="B90:B96 B12:B14 B16 B18:B22 B24:B26 B57:B60 B62:B71 B73:B77 B79:AF79 B86 C60:AG60 C77:AG77 B88:AF88 B28:B32">
    <cfRule type="expression" dxfId="6643" priority="86">
      <formula>B$9&gt;=20/24</formula>
    </cfRule>
    <cfRule type="expression" dxfId="6642" priority="87">
      <formula>AND(B$9&gt;=14/24,B$9&lt;20/24)</formula>
    </cfRule>
    <cfRule type="expression" dxfId="6641" priority="88">
      <formula>AND(B$9&gt;=8/24,B$9&lt;14/24)</formula>
    </cfRule>
    <cfRule type="expression" dxfId="6640" priority="89">
      <formula>B$9&lt;8/24</formula>
    </cfRule>
  </conditionalFormatting>
  <conditionalFormatting sqref="B33">
    <cfRule type="expression" dxfId="6639" priority="82">
      <formula>B$9&gt;=20/24</formula>
    </cfRule>
    <cfRule type="expression" dxfId="6638" priority="83">
      <formula>AND(B$9&gt;=14/24,B$9&lt;20/24)</formula>
    </cfRule>
    <cfRule type="expression" dxfId="6637" priority="84">
      <formula>AND(B$9&gt;=8/24,B$9&lt;14/24)</formula>
    </cfRule>
    <cfRule type="expression" dxfId="6636" priority="85">
      <formula>B$9&lt;8/24</formula>
    </cfRule>
  </conditionalFormatting>
  <conditionalFormatting sqref="B46:B47 B18:B22 B55:B60 B38:AG38 C56:AG56 C60:AG60 B24:B33">
    <cfRule type="expression" dxfId="6635" priority="81">
      <formula>B18&gt;$AG18</formula>
    </cfRule>
  </conditionalFormatting>
  <conditionalFormatting sqref="B35">
    <cfRule type="expression" dxfId="6634" priority="77">
      <formula>B$9&gt;=20/24</formula>
    </cfRule>
    <cfRule type="expression" dxfId="6633" priority="78">
      <formula>AND(B$9&gt;=14/24,B$9&lt;20/24)</formula>
    </cfRule>
    <cfRule type="expression" dxfId="6632" priority="79">
      <formula>AND(B$9&gt;=8/24,B$9&lt;14/24)</formula>
    </cfRule>
    <cfRule type="expression" dxfId="6631" priority="80">
      <formula>B$9&lt;8/24</formula>
    </cfRule>
  </conditionalFormatting>
  <conditionalFormatting sqref="B15">
    <cfRule type="expression" dxfId="6630" priority="73">
      <formula>B$9&gt;=20/24</formula>
    </cfRule>
    <cfRule type="expression" dxfId="6629" priority="74">
      <formula>AND(B$9&gt;=14/24,B$9&lt;20/24)</formula>
    </cfRule>
    <cfRule type="expression" dxfId="6628" priority="75">
      <formula>AND(B$9&gt;=8/24,B$9&lt;14/24)</formula>
    </cfRule>
    <cfRule type="expression" dxfId="6627" priority="76">
      <formula>B$9&lt;8/24</formula>
    </cfRule>
  </conditionalFormatting>
  <conditionalFormatting sqref="B34">
    <cfRule type="expression" dxfId="6626" priority="69">
      <formula>B$9&gt;=20/24</formula>
    </cfRule>
    <cfRule type="expression" dxfId="6625" priority="70">
      <formula>AND(B$9&gt;=14/24,B$9&lt;20/24)</formula>
    </cfRule>
    <cfRule type="expression" dxfId="6624" priority="71">
      <formula>AND(B$9&gt;=8/24,B$9&lt;14/24)</formula>
    </cfRule>
    <cfRule type="expression" dxfId="6623" priority="72">
      <formula>B$9&lt;8/24</formula>
    </cfRule>
  </conditionalFormatting>
  <conditionalFormatting sqref="B34">
    <cfRule type="expression" dxfId="6622" priority="68">
      <formula>B34&gt;$AG34</formula>
    </cfRule>
  </conditionalFormatting>
  <conditionalFormatting sqref="B48:B54">
    <cfRule type="expression" dxfId="6621" priority="64">
      <formula>B$9&gt;=20/24</formula>
    </cfRule>
    <cfRule type="expression" dxfId="6620" priority="65">
      <formula>AND(B$9&gt;=14/24,B$9&lt;20/24)</formula>
    </cfRule>
    <cfRule type="expression" dxfId="6619" priority="66">
      <formula>AND(B$9&gt;=8/24,B$9&lt;14/24)</formula>
    </cfRule>
    <cfRule type="expression" dxfId="6618" priority="67">
      <formula>B$9&lt;8/24</formula>
    </cfRule>
  </conditionalFormatting>
  <conditionalFormatting sqref="B48:B54">
    <cfRule type="expression" dxfId="6617" priority="63">
      <formula>B48&gt;$AG48</formula>
    </cfRule>
  </conditionalFormatting>
  <conditionalFormatting sqref="B27">
    <cfRule type="expression" dxfId="6616" priority="59">
      <formula>B$9&gt;=20/24</formula>
    </cfRule>
    <cfRule type="expression" dxfId="6615" priority="60">
      <formula>AND(B$9&gt;=14/24,B$9&lt;20/24)</formula>
    </cfRule>
    <cfRule type="expression" dxfId="6614" priority="61">
      <formula>AND(B$9&gt;=8/24,B$9&lt;14/24)</formula>
    </cfRule>
    <cfRule type="expression" dxfId="6613" priority="62">
      <formula>B$9&lt;8/24</formula>
    </cfRule>
  </conditionalFormatting>
  <conditionalFormatting sqref="B17 B23">
    <cfRule type="expression" dxfId="6612" priority="55">
      <formula>B$9&gt;=20/24</formula>
    </cfRule>
    <cfRule type="expression" dxfId="6611" priority="56">
      <formula>AND(B$9&gt;=14/24,B$9&lt;20/24)</formula>
    </cfRule>
    <cfRule type="expression" dxfId="6610" priority="57">
      <formula>AND(B$9&gt;=8/24,B$9&lt;14/24)</formula>
    </cfRule>
    <cfRule type="expression" dxfId="6609" priority="58">
      <formula>B$9&lt;8/24</formula>
    </cfRule>
  </conditionalFormatting>
  <conditionalFormatting sqref="B17 B23">
    <cfRule type="expression" dxfId="6608" priority="54">
      <formula>B17&gt;$AG17</formula>
    </cfRule>
  </conditionalFormatting>
  <conditionalFormatting sqref="A34">
    <cfRule type="expression" dxfId="6607" priority="53">
      <formula>$AH34=0</formula>
    </cfRule>
  </conditionalFormatting>
  <conditionalFormatting sqref="B72:AF72">
    <cfRule type="expression" dxfId="6606" priority="49">
      <formula>B$9&gt;=20/24</formula>
    </cfRule>
    <cfRule type="expression" dxfId="6605" priority="50">
      <formula>AND(B$9&gt;=14/24,B$9&lt;20/24)</formula>
    </cfRule>
    <cfRule type="expression" dxfId="6604" priority="51">
      <formula>AND(B$9&gt;=8/24,B$9&lt;14/24)</formula>
    </cfRule>
    <cfRule type="expression" dxfId="6603" priority="52">
      <formula>B$9&lt;8/24</formula>
    </cfRule>
  </conditionalFormatting>
  <conditionalFormatting sqref="B81:AF85">
    <cfRule type="expression" dxfId="6602" priority="45">
      <formula>B$9&gt;=20/24</formula>
    </cfRule>
    <cfRule type="expression" dxfId="6601" priority="46">
      <formula>AND(B$9&gt;=14/24,B$9&lt;20/24)</formula>
    </cfRule>
    <cfRule type="expression" dxfId="6600" priority="47">
      <formula>AND(B$9&gt;=8/24,B$9&lt;14/24)</formula>
    </cfRule>
    <cfRule type="expression" dxfId="6599" priority="48">
      <formula>B$9&lt;8/24</formula>
    </cfRule>
  </conditionalFormatting>
  <conditionalFormatting sqref="AL35 AL7:AL30 AL32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6598" priority="41">
      <formula>C$9&gt;=20/24</formula>
    </cfRule>
    <cfRule type="expression" dxfId="6597" priority="42">
      <formula>AND(C$9&gt;=14/24,C$9&lt;20/24)</formula>
    </cfRule>
    <cfRule type="expression" dxfId="6596" priority="43">
      <formula>AND(C$9&gt;=8/24,C$9&lt;14/24)</formula>
    </cfRule>
    <cfRule type="expression" dxfId="6595" priority="44">
      <formula>C$9&lt;8/24</formula>
    </cfRule>
  </conditionalFormatting>
  <conditionalFormatting sqref="C39:AF41">
    <cfRule type="expression" dxfId="6594" priority="40">
      <formula>C39&gt;$AG39</formula>
    </cfRule>
  </conditionalFormatting>
  <conditionalFormatting sqref="B39:B42 C42:AG42">
    <cfRule type="expression" dxfId="6593" priority="36">
      <formula>B$9&gt;=20/24</formula>
    </cfRule>
    <cfRule type="expression" dxfId="6592" priority="37">
      <formula>AND(B$9&gt;=14/24,B$9&lt;20/24)</formula>
    </cfRule>
    <cfRule type="expression" dxfId="6591" priority="38">
      <formula>AND(B$9&gt;=8/24,B$9&lt;14/24)</formula>
    </cfRule>
    <cfRule type="expression" dxfId="6590" priority="39">
      <formula>B$9&lt;8/24</formula>
    </cfRule>
  </conditionalFormatting>
  <conditionalFormatting sqref="B39:B42 C42:AG42">
    <cfRule type="expression" dxfId="6589" priority="35">
      <formula>B39&gt;$AG39</formula>
    </cfRule>
  </conditionalFormatting>
  <conditionalFormatting sqref="C97:AF97">
    <cfRule type="expression" dxfId="6588" priority="31">
      <formula>C$9&gt;=20/24</formula>
    </cfRule>
    <cfRule type="expression" dxfId="6587" priority="32">
      <formula>AND(C$9&gt;=14/24,C$9&lt;20/24)</formula>
    </cfRule>
    <cfRule type="expression" dxfId="6586" priority="33">
      <formula>AND(C$9&gt;=8/24,C$9&lt;14/24)</formula>
    </cfRule>
    <cfRule type="expression" dxfId="6585" priority="34">
      <formula>C$9&lt;8/24</formula>
    </cfRule>
  </conditionalFormatting>
  <conditionalFormatting sqref="B97">
    <cfRule type="expression" dxfId="6584" priority="27">
      <formula>B$9&gt;=20/24</formula>
    </cfRule>
    <cfRule type="expression" dxfId="6583" priority="28">
      <formula>AND(B$9&gt;=14/24,B$9&lt;20/24)</formula>
    </cfRule>
    <cfRule type="expression" dxfId="6582" priority="29">
      <formula>AND(B$9&gt;=8/24,B$9&lt;14/24)</formula>
    </cfRule>
    <cfRule type="expression" dxfId="6581" priority="30">
      <formula>B$9&lt;8/24</formula>
    </cfRule>
  </conditionalFormatting>
  <conditionalFormatting sqref="AL31">
    <cfRule type="iconSet" priority="2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6580" priority="21">
      <formula>$AH31=0</formula>
    </cfRule>
  </conditionalFormatting>
  <conditionalFormatting sqref="A80">
    <cfRule type="expression" dxfId="6579" priority="19">
      <formula>$AH80=0</formula>
    </cfRule>
  </conditionalFormatting>
  <conditionalFormatting sqref="A77">
    <cfRule type="expression" dxfId="6578" priority="20">
      <formula>$AH77=0</formula>
    </cfRule>
  </conditionalFormatting>
  <conditionalFormatting sqref="A107">
    <cfRule type="expression" dxfId="6577" priority="10">
      <formula>$AH107=0</formula>
    </cfRule>
  </conditionalFormatting>
  <conditionalFormatting sqref="C100:AF100">
    <cfRule type="expression" dxfId="6576" priority="6">
      <formula>C$9&gt;=20/24</formula>
    </cfRule>
    <cfRule type="expression" dxfId="6575" priority="7">
      <formula>AND(C$9&gt;=14/24,C$9&lt;20/24)</formula>
    </cfRule>
    <cfRule type="expression" dxfId="6574" priority="8">
      <formula>AND(C$9&gt;=8/24,C$9&lt;14/24)</formula>
    </cfRule>
    <cfRule type="expression" dxfId="6573" priority="9">
      <formula>C$9&lt;8/24</formula>
    </cfRule>
  </conditionalFormatting>
  <conditionalFormatting sqref="A100">
    <cfRule type="expression" dxfId="6572" priority="5">
      <formula>$AH100=0</formula>
    </cfRule>
  </conditionalFormatting>
  <conditionalFormatting sqref="B100">
    <cfRule type="expression" dxfId="6571" priority="1">
      <formula>B$9&gt;=20/24</formula>
    </cfRule>
    <cfRule type="expression" dxfId="6570" priority="2">
      <formula>AND(B$9&gt;=14/24,B$9&lt;20/24)</formula>
    </cfRule>
    <cfRule type="expression" dxfId="6569" priority="3">
      <formula>AND(B$9&gt;=8/24,B$9&lt;14/24)</formula>
    </cfRule>
    <cfRule type="expression" dxfId="6568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5FB069E6-B48D-42CE-9BDB-C928B8FF4AE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DF1FE3E2-6BB1-4E9E-83D1-F74E6B1CE91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id="{82D24F22-F094-46E7-8FEF-88A8A898263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" id="{28E179D8-75CE-44B8-AA16-1C70ABB1D31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5" id="{BBC985A5-5084-4FAB-B2FB-FFBCC9EA73D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664EB41A-8855-46B9-B79B-F124B88000E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C29D81AD-0BD9-43DE-ABFA-71E1D79471C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EFDFCE14-8871-41AE-838B-A1DCDCC3EDC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11" id="{F7E18240-24C1-43E2-9D5E-BC7293BD34A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A395B396-6DC0-444F-8D6F-69D4EE718FC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87B940D7-C978-4397-B87F-FF2D714A84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" id="{38CDAFC4-F549-4F75-BBC0-80E757734D9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J493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AF43" sqref="AF43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2079/02/8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25.8</v>
      </c>
      <c r="C5" s="205">
        <f t="shared" si="0"/>
        <v>13.5</v>
      </c>
      <c r="D5" s="205">
        <f t="shared" si="0"/>
        <v>11.8</v>
      </c>
      <c r="E5" s="205">
        <f t="shared" si="0"/>
        <v>13.1</v>
      </c>
      <c r="F5" s="205">
        <f t="shared" si="0"/>
        <v>11.7</v>
      </c>
      <c r="G5" s="205">
        <f t="shared" si="0"/>
        <v>10.9</v>
      </c>
      <c r="H5" s="205">
        <f t="shared" si="0"/>
        <v>5</v>
      </c>
      <c r="I5" s="205">
        <f t="shared" si="0"/>
        <v>3.4</v>
      </c>
      <c r="J5" s="205">
        <f t="shared" si="0"/>
        <v>25.3</v>
      </c>
      <c r="K5" s="205">
        <f t="shared" si="0"/>
        <v>16.600000000000001</v>
      </c>
      <c r="L5" s="205">
        <f t="shared" si="0"/>
        <v>16.600000000000001</v>
      </c>
      <c r="M5" s="205">
        <f t="shared" si="0"/>
        <v>70.5</v>
      </c>
      <c r="N5" s="205">
        <f t="shared" si="0"/>
        <v>51.3</v>
      </c>
      <c r="O5" s="205">
        <f t="shared" si="0"/>
        <v>71.099999999999994</v>
      </c>
      <c r="P5" s="205">
        <f t="shared" si="0"/>
        <v>65.099999999999994</v>
      </c>
      <c r="Q5" s="205">
        <f t="shared" si="0"/>
        <v>71.2</v>
      </c>
      <c r="R5" s="205">
        <f t="shared" si="0"/>
        <v>67.599999999999994</v>
      </c>
      <c r="S5" s="205">
        <f t="shared" si="0"/>
        <v>65.3</v>
      </c>
      <c r="T5" s="205">
        <f t="shared" si="0"/>
        <v>55.7</v>
      </c>
      <c r="U5" s="205">
        <f t="shared" si="0"/>
        <v>56.9</v>
      </c>
      <c r="V5" s="205">
        <f t="shared" si="0"/>
        <v>56.7</v>
      </c>
      <c r="W5" s="205">
        <f t="shared" si="0"/>
        <v>55.2</v>
      </c>
      <c r="X5" s="205">
        <f t="shared" si="0"/>
        <v>52.6</v>
      </c>
      <c r="Y5" s="205">
        <f t="shared" si="0"/>
        <v>50.5</v>
      </c>
      <c r="Z5" s="205">
        <f t="shared" si="0"/>
        <v>76</v>
      </c>
      <c r="AA5" s="205">
        <f t="shared" si="0"/>
        <v>75.599999999999994</v>
      </c>
      <c r="AB5" s="205">
        <f t="shared" si="0"/>
        <v>77.099999999999994</v>
      </c>
      <c r="AC5" s="205">
        <f t="shared" si="0"/>
        <v>68.5</v>
      </c>
      <c r="AD5" s="205">
        <f t="shared" si="0"/>
        <v>69.099999999999994</v>
      </c>
      <c r="AE5" s="205">
        <f t="shared" si="0"/>
        <v>69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1885MW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Load=4</v>
      </c>
      <c r="B7" s="210">
        <f>B79</f>
        <v>3.54</v>
      </c>
      <c r="C7" s="210">
        <f t="shared" ref="C7:AF7" si="1">C79</f>
        <v>1664.04</v>
      </c>
      <c r="D7" s="210">
        <f t="shared" si="1"/>
        <v>1663.94</v>
      </c>
      <c r="E7" s="210">
        <f t="shared" si="1"/>
        <v>1656.9399999999998</v>
      </c>
      <c r="F7" s="210">
        <f t="shared" si="1"/>
        <v>1641.3399999999997</v>
      </c>
      <c r="G7" s="210">
        <f t="shared" si="1"/>
        <v>1640.1399999999999</v>
      </c>
      <c r="H7" s="210">
        <f t="shared" si="1"/>
        <v>1665.24</v>
      </c>
      <c r="I7" s="210">
        <f t="shared" si="1"/>
        <v>1730.7399999999998</v>
      </c>
      <c r="J7" s="210">
        <f t="shared" si="1"/>
        <v>1768.1399999999999</v>
      </c>
      <c r="K7" s="210">
        <f t="shared" si="1"/>
        <v>1794.0399999999997</v>
      </c>
      <c r="L7" s="210">
        <f t="shared" si="1"/>
        <v>1787.4399999999996</v>
      </c>
      <c r="M7" s="210">
        <f t="shared" si="1"/>
        <v>1832.54</v>
      </c>
      <c r="N7" s="210">
        <f t="shared" si="1"/>
        <v>1884.6399999999999</v>
      </c>
      <c r="O7" s="210">
        <f t="shared" si="1"/>
        <v>1916.34</v>
      </c>
      <c r="P7" s="210">
        <f t="shared" si="1"/>
        <v>1905.74</v>
      </c>
      <c r="Q7" s="210">
        <f t="shared" si="1"/>
        <v>1921.14</v>
      </c>
      <c r="R7" s="210">
        <f t="shared" si="1"/>
        <v>1903.9399999999998</v>
      </c>
      <c r="S7" s="210">
        <f t="shared" si="1"/>
        <v>1889.7399999999998</v>
      </c>
      <c r="T7" s="210">
        <f t="shared" si="1"/>
        <v>1871.4399999999998</v>
      </c>
      <c r="U7" s="210">
        <f t="shared" si="1"/>
        <v>1862.84</v>
      </c>
      <c r="V7" s="210">
        <f t="shared" si="1"/>
        <v>1864.04</v>
      </c>
      <c r="W7" s="210">
        <f t="shared" si="1"/>
        <v>1855.84</v>
      </c>
      <c r="X7" s="210">
        <f t="shared" si="1"/>
        <v>1850.34</v>
      </c>
      <c r="Y7" s="210">
        <f t="shared" si="1"/>
        <v>1847.7399999999998</v>
      </c>
      <c r="Z7" s="210">
        <f t="shared" si="1"/>
        <v>1869.2399999999998</v>
      </c>
      <c r="AA7" s="210">
        <f t="shared" si="1"/>
        <v>1967.2399999999998</v>
      </c>
      <c r="AB7" s="210">
        <f t="shared" si="1"/>
        <v>1888.6399999999999</v>
      </c>
      <c r="AC7" s="210">
        <f t="shared" si="1"/>
        <v>1896.6399999999999</v>
      </c>
      <c r="AD7" s="210">
        <f t="shared" si="1"/>
        <v>1866.04</v>
      </c>
      <c r="AE7" s="210">
        <f t="shared" si="1"/>
        <v>1864.8399999999997</v>
      </c>
      <c r="AF7" s="210">
        <f t="shared" si="1"/>
        <v>1836.8399999999997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 t="s">
        <v>250</v>
      </c>
      <c r="C11" s="224">
        <v>53.4</v>
      </c>
      <c r="D11" s="224">
        <v>53.6</v>
      </c>
      <c r="E11" s="224">
        <v>53.5</v>
      </c>
      <c r="F11" s="224">
        <v>53.5</v>
      </c>
      <c r="G11" s="224">
        <v>53.5</v>
      </c>
      <c r="H11" s="224">
        <v>53.5</v>
      </c>
      <c r="I11" s="224">
        <v>53.5</v>
      </c>
      <c r="J11" s="224">
        <v>53.5</v>
      </c>
      <c r="K11" s="224">
        <v>53.5</v>
      </c>
      <c r="L11" s="224">
        <v>53.5</v>
      </c>
      <c r="M11" s="224">
        <v>53.5</v>
      </c>
      <c r="N11" s="224">
        <v>53.5</v>
      </c>
      <c r="O11" s="221">
        <v>53.5</v>
      </c>
      <c r="P11" s="221">
        <v>53.6</v>
      </c>
      <c r="Q11" s="221">
        <v>53.6</v>
      </c>
      <c r="R11" s="221">
        <v>53.5</v>
      </c>
      <c r="S11" s="224">
        <v>53.5</v>
      </c>
      <c r="T11" s="224">
        <v>53.5</v>
      </c>
      <c r="U11" s="224">
        <v>53.5</v>
      </c>
      <c r="V11" s="224">
        <v>53.5</v>
      </c>
      <c r="W11" s="224">
        <v>53.5</v>
      </c>
      <c r="X11" s="224">
        <v>53.5</v>
      </c>
      <c r="Y11" s="224">
        <v>53.5</v>
      </c>
      <c r="Z11" s="224">
        <v>53.5</v>
      </c>
      <c r="AA11" s="224">
        <v>53.5</v>
      </c>
      <c r="AB11" s="224">
        <v>53.5</v>
      </c>
      <c r="AC11" s="224">
        <v>53.5</v>
      </c>
      <c r="AD11" s="224">
        <v>53.5</v>
      </c>
      <c r="AE11" s="224">
        <v>53.5</v>
      </c>
      <c r="AF11" s="224">
        <v>53.5</v>
      </c>
      <c r="AG11" s="225">
        <v>52.4</v>
      </c>
      <c r="AH11" s="226">
        <f>MAX(B11:AF11)</f>
        <v>53.6</v>
      </c>
      <c r="AI11" s="227">
        <f>MIN(B11:AF11)</f>
        <v>53.4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 t="s">
        <v>251</v>
      </c>
      <c r="C12" s="221">
        <v>50.5</v>
      </c>
      <c r="D12" s="221">
        <v>50.6</v>
      </c>
      <c r="E12" s="221">
        <v>50.6</v>
      </c>
      <c r="F12" s="221">
        <v>50.6</v>
      </c>
      <c r="G12" s="221">
        <v>50.6</v>
      </c>
      <c r="H12" s="221">
        <v>50.6</v>
      </c>
      <c r="I12" s="221">
        <v>50.6</v>
      </c>
      <c r="J12" s="221">
        <v>50.6</v>
      </c>
      <c r="K12" s="221">
        <v>50.6</v>
      </c>
      <c r="L12" s="221">
        <v>50.6</v>
      </c>
      <c r="M12" s="221">
        <v>50.6</v>
      </c>
      <c r="N12" s="221">
        <v>50.6</v>
      </c>
      <c r="O12" s="221">
        <v>50.9</v>
      </c>
      <c r="P12" s="221">
        <v>50.2</v>
      </c>
      <c r="Q12" s="221">
        <v>50.5</v>
      </c>
      <c r="R12" s="221">
        <v>50.4</v>
      </c>
      <c r="S12" s="221">
        <v>50.4</v>
      </c>
      <c r="T12" s="221">
        <v>50.4</v>
      </c>
      <c r="U12" s="221">
        <v>50.4</v>
      </c>
      <c r="V12" s="221">
        <v>50.4</v>
      </c>
      <c r="W12" s="221">
        <v>50.4</v>
      </c>
      <c r="X12" s="221">
        <v>50.4</v>
      </c>
      <c r="Y12" s="221">
        <v>50.4</v>
      </c>
      <c r="Z12" s="221">
        <v>50.4</v>
      </c>
      <c r="AA12" s="221">
        <v>50.4</v>
      </c>
      <c r="AB12" s="221">
        <v>50.4</v>
      </c>
      <c r="AC12" s="221">
        <v>50.4</v>
      </c>
      <c r="AD12" s="221">
        <v>50.4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50.9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 t="s">
        <v>252</v>
      </c>
      <c r="C13" s="221">
        <v>45.4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45.4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 t="s">
        <v>253</v>
      </c>
      <c r="C14" s="221">
        <v>0</v>
      </c>
      <c r="D14" s="221">
        <v>26</v>
      </c>
      <c r="E14" s="221">
        <v>26</v>
      </c>
      <c r="F14" s="221">
        <v>26</v>
      </c>
      <c r="G14" s="221">
        <v>26</v>
      </c>
      <c r="H14" s="221">
        <v>0</v>
      </c>
      <c r="I14" s="221">
        <v>0</v>
      </c>
      <c r="J14" s="221">
        <v>0</v>
      </c>
      <c r="K14" s="221">
        <v>0</v>
      </c>
      <c r="L14" s="221">
        <v>0</v>
      </c>
      <c r="M14" s="221">
        <v>38</v>
      </c>
      <c r="N14" s="221">
        <v>38</v>
      </c>
      <c r="O14" s="221">
        <v>41</v>
      </c>
      <c r="P14" s="221">
        <v>41</v>
      </c>
      <c r="Q14" s="221">
        <v>41</v>
      </c>
      <c r="R14" s="221">
        <v>41</v>
      </c>
      <c r="S14" s="221">
        <v>41</v>
      </c>
      <c r="T14" s="221">
        <v>35</v>
      </c>
      <c r="U14" s="221">
        <v>32</v>
      </c>
      <c r="V14" s="221">
        <v>32</v>
      </c>
      <c r="W14" s="221">
        <v>32</v>
      </c>
      <c r="X14" s="221">
        <v>32</v>
      </c>
      <c r="Y14" s="221">
        <v>32</v>
      </c>
      <c r="Z14" s="221">
        <v>32</v>
      </c>
      <c r="AA14" s="221">
        <v>28</v>
      </c>
      <c r="AB14" s="221">
        <v>0</v>
      </c>
      <c r="AC14" s="221">
        <v>0</v>
      </c>
      <c r="AD14" s="221">
        <v>0</v>
      </c>
      <c r="AE14" s="221">
        <v>0</v>
      </c>
      <c r="AF14" s="221">
        <v>0</v>
      </c>
      <c r="AG14" s="229">
        <v>42</v>
      </c>
      <c r="AH14" s="226">
        <f t="shared" si="2"/>
        <v>41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 t="s">
        <v>254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30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 t="s">
        <v>251</v>
      </c>
      <c r="C16" s="221">
        <v>25.3</v>
      </c>
      <c r="D16" s="221">
        <v>25</v>
      </c>
      <c r="E16" s="221">
        <v>25</v>
      </c>
      <c r="F16" s="221">
        <v>25</v>
      </c>
      <c r="G16" s="221">
        <v>25</v>
      </c>
      <c r="H16" s="221">
        <v>25</v>
      </c>
      <c r="I16" s="221">
        <v>25</v>
      </c>
      <c r="J16" s="221">
        <v>25</v>
      </c>
      <c r="K16" s="221">
        <v>25</v>
      </c>
      <c r="L16" s="221">
        <v>25</v>
      </c>
      <c r="M16" s="221">
        <v>26.1</v>
      </c>
      <c r="N16" s="221">
        <v>26.3</v>
      </c>
      <c r="O16" s="221">
        <v>26.3</v>
      </c>
      <c r="P16" s="221">
        <v>26.3</v>
      </c>
      <c r="Q16" s="221">
        <v>26.4</v>
      </c>
      <c r="R16" s="221">
        <v>26.4</v>
      </c>
      <c r="S16" s="221">
        <v>26.4</v>
      </c>
      <c r="T16" s="221">
        <v>26.4</v>
      </c>
      <c r="U16" s="221">
        <v>26.4</v>
      </c>
      <c r="V16" s="221">
        <v>26.4</v>
      </c>
      <c r="W16" s="221">
        <v>26.4</v>
      </c>
      <c r="X16" s="221">
        <v>26.4</v>
      </c>
      <c r="Y16" s="221">
        <v>26.4</v>
      </c>
      <c r="Z16" s="221">
        <v>26.4</v>
      </c>
      <c r="AA16" s="221">
        <v>26.4</v>
      </c>
      <c r="AB16" s="221">
        <v>26.4</v>
      </c>
      <c r="AC16" s="221">
        <v>26.4</v>
      </c>
      <c r="AD16" s="221">
        <v>26.4</v>
      </c>
      <c r="AE16" s="221">
        <v>26.4</v>
      </c>
      <c r="AF16" s="221">
        <v>26.4</v>
      </c>
      <c r="AG16" s="229">
        <v>25</v>
      </c>
      <c r="AH16" s="226">
        <f t="shared" si="2"/>
        <v>26.4</v>
      </c>
      <c r="AI16" s="227">
        <f t="shared" si="3"/>
        <v>25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 t="s">
        <v>255</v>
      </c>
      <c r="C17" s="221">
        <v>13</v>
      </c>
      <c r="D17" s="221">
        <v>13</v>
      </c>
      <c r="E17" s="221">
        <v>13</v>
      </c>
      <c r="F17" s="221">
        <v>13</v>
      </c>
      <c r="G17" s="221">
        <v>13</v>
      </c>
      <c r="H17" s="221">
        <v>13</v>
      </c>
      <c r="I17" s="221">
        <v>13</v>
      </c>
      <c r="J17" s="221">
        <v>13</v>
      </c>
      <c r="K17" s="221">
        <v>13</v>
      </c>
      <c r="L17" s="221">
        <v>13</v>
      </c>
      <c r="M17" s="221">
        <v>13</v>
      </c>
      <c r="N17" s="221">
        <v>13</v>
      </c>
      <c r="O17" s="221">
        <v>13</v>
      </c>
      <c r="P17" s="221">
        <v>13</v>
      </c>
      <c r="Q17" s="221">
        <v>13</v>
      </c>
      <c r="R17" s="221">
        <v>13</v>
      </c>
      <c r="S17" s="221">
        <v>13</v>
      </c>
      <c r="T17" s="221">
        <v>13</v>
      </c>
      <c r="U17" s="221">
        <v>13</v>
      </c>
      <c r="V17" s="221">
        <v>13</v>
      </c>
      <c r="W17" s="221">
        <v>13</v>
      </c>
      <c r="X17" s="221">
        <v>13</v>
      </c>
      <c r="Y17" s="221">
        <v>13</v>
      </c>
      <c r="Z17" s="221">
        <v>13</v>
      </c>
      <c r="AA17" s="221">
        <v>13</v>
      </c>
      <c r="AB17" s="221">
        <v>13</v>
      </c>
      <c r="AC17" s="221">
        <v>13</v>
      </c>
      <c r="AD17" s="221">
        <v>13</v>
      </c>
      <c r="AE17" s="221">
        <v>13</v>
      </c>
      <c r="AF17" s="221">
        <v>13</v>
      </c>
      <c r="AG17" s="229">
        <v>25</v>
      </c>
      <c r="AH17" s="226">
        <f t="shared" si="2"/>
        <v>13</v>
      </c>
      <c r="AI17" s="227">
        <f t="shared" si="3"/>
        <v>13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 t="s">
        <v>256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 t="s">
        <v>257</v>
      </c>
      <c r="C19" s="221">
        <v>33.299999999999997</v>
      </c>
      <c r="D19" s="221">
        <v>33.200000000000003</v>
      </c>
      <c r="E19" s="221">
        <v>33.200000000000003</v>
      </c>
      <c r="F19" s="221">
        <v>33.200000000000003</v>
      </c>
      <c r="G19" s="221">
        <v>33.200000000000003</v>
      </c>
      <c r="H19" s="221">
        <v>33.200000000000003</v>
      </c>
      <c r="I19" s="221">
        <v>33.200000000000003</v>
      </c>
      <c r="J19" s="221">
        <v>33.200000000000003</v>
      </c>
      <c r="K19" s="221">
        <v>33.200000000000003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33.299999999999997</v>
      </c>
      <c r="AI19" s="227">
        <f t="shared" si="3"/>
        <v>33.200000000000003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 t="s">
        <v>256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23.4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 t="s">
        <v>253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 t="s">
        <v>258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 t="s">
        <v>259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/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0</v>
      </c>
      <c r="AE24" s="221">
        <v>0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 t="s">
        <v>260</v>
      </c>
      <c r="C25" s="221">
        <v>10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20</v>
      </c>
      <c r="J25" s="221">
        <v>20</v>
      </c>
      <c r="K25" s="221">
        <v>20</v>
      </c>
      <c r="L25" s="221">
        <v>20</v>
      </c>
      <c r="M25" s="221">
        <v>20</v>
      </c>
      <c r="N25" s="221">
        <v>20</v>
      </c>
      <c r="O25" s="221">
        <v>14</v>
      </c>
      <c r="P25" s="221">
        <v>14</v>
      </c>
      <c r="Q25" s="221">
        <v>18</v>
      </c>
      <c r="R25" s="221">
        <v>18</v>
      </c>
      <c r="S25" s="221">
        <v>18</v>
      </c>
      <c r="T25" s="221">
        <v>18</v>
      </c>
      <c r="U25" s="221">
        <v>12</v>
      </c>
      <c r="V25" s="221">
        <v>12</v>
      </c>
      <c r="W25" s="221">
        <v>12</v>
      </c>
      <c r="X25" s="221">
        <v>12</v>
      </c>
      <c r="Y25" s="221">
        <v>12</v>
      </c>
      <c r="Z25" s="221">
        <v>12</v>
      </c>
      <c r="AA25" s="221">
        <v>20</v>
      </c>
      <c r="AB25" s="221">
        <v>20</v>
      </c>
      <c r="AC25" s="221">
        <v>20</v>
      </c>
      <c r="AD25" s="221">
        <v>20</v>
      </c>
      <c r="AE25" s="221">
        <v>20</v>
      </c>
      <c r="AF25" s="221">
        <v>20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 t="s">
        <v>261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 t="s">
        <v>255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 t="s">
        <v>255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 t="s">
        <v>251</v>
      </c>
      <c r="C29" s="221">
        <v>12</v>
      </c>
      <c r="D29" s="221">
        <v>12</v>
      </c>
      <c r="E29" s="221">
        <v>0</v>
      </c>
      <c r="F29" s="221">
        <v>0</v>
      </c>
      <c r="G29" s="221">
        <v>0</v>
      </c>
      <c r="H29" s="221">
        <v>0</v>
      </c>
      <c r="I29" s="221">
        <v>0</v>
      </c>
      <c r="J29" s="221">
        <v>8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 t="s">
        <v>250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 t="s">
        <v>256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 t="s">
        <v>258</v>
      </c>
      <c r="C32" s="221">
        <v>6.4</v>
      </c>
      <c r="D32" s="221">
        <v>6.4</v>
      </c>
      <c r="E32" s="221">
        <v>6.4</v>
      </c>
      <c r="F32" s="221">
        <v>6.4</v>
      </c>
      <c r="G32" s="221">
        <v>6.4</v>
      </c>
      <c r="H32" s="221">
        <v>6.4</v>
      </c>
      <c r="I32" s="221">
        <v>6.4</v>
      </c>
      <c r="J32" s="221">
        <v>6.4</v>
      </c>
      <c r="K32" s="221">
        <v>6.4</v>
      </c>
      <c r="L32" s="221">
        <v>6.4</v>
      </c>
      <c r="M32" s="221">
        <v>6.4</v>
      </c>
      <c r="N32" s="221">
        <v>6.4</v>
      </c>
      <c r="O32" s="221">
        <v>6.4</v>
      </c>
      <c r="P32" s="221">
        <v>6.4</v>
      </c>
      <c r="Q32" s="221">
        <v>6.4</v>
      </c>
      <c r="R32" s="221">
        <v>6.4</v>
      </c>
      <c r="S32" s="221">
        <v>6.4</v>
      </c>
      <c r="T32" s="221">
        <v>6.4</v>
      </c>
      <c r="U32" s="221">
        <v>6.4</v>
      </c>
      <c r="V32" s="221">
        <v>6.4</v>
      </c>
      <c r="W32" s="221">
        <v>6.4</v>
      </c>
      <c r="X32" s="221">
        <v>6.4</v>
      </c>
      <c r="Y32" s="221">
        <v>6.4</v>
      </c>
      <c r="Z32" s="221">
        <v>6.4</v>
      </c>
      <c r="AA32" s="221">
        <v>6.4</v>
      </c>
      <c r="AB32" s="221">
        <v>6.4</v>
      </c>
      <c r="AC32" s="221">
        <v>6.4</v>
      </c>
      <c r="AD32" s="221">
        <v>6.4</v>
      </c>
      <c r="AE32" s="221">
        <v>6.4</v>
      </c>
      <c r="AF32" s="221">
        <v>6.4</v>
      </c>
      <c r="AG32" s="230">
        <v>11.88</v>
      </c>
      <c r="AH32" s="226">
        <f t="shared" si="2"/>
        <v>6.4</v>
      </c>
      <c r="AI32" s="227">
        <f t="shared" si="3"/>
        <v>6.4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/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/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/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/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/>
      <c r="C37" s="239">
        <f>56.9+102.8</f>
        <v>159.69999999999999</v>
      </c>
      <c r="D37" s="239">
        <f>56.8+102.7</f>
        <v>159.5</v>
      </c>
      <c r="E37" s="237">
        <f>56.7+102.5</f>
        <v>159.19999999999999</v>
      </c>
      <c r="F37" s="237">
        <f>57+102.4</f>
        <v>159.4</v>
      </c>
      <c r="G37" s="237">
        <f>56.5+102.5</f>
        <v>159</v>
      </c>
      <c r="H37" s="237">
        <f>56.6+99.2</f>
        <v>155.80000000000001</v>
      </c>
      <c r="I37" s="237">
        <f>56.5+101.1</f>
        <v>157.6</v>
      </c>
      <c r="J37" s="237">
        <f>56.3+101.3</f>
        <v>157.6</v>
      </c>
      <c r="K37" s="237">
        <f>56.3+101.1</f>
        <v>157.39999999999998</v>
      </c>
      <c r="L37" s="237">
        <f>56.4+101.2</f>
        <v>157.6</v>
      </c>
      <c r="M37" s="237">
        <f>55.5+100.9</f>
        <v>156.4</v>
      </c>
      <c r="N37" s="237">
        <f>95.4+56.1</f>
        <v>151.5</v>
      </c>
      <c r="O37" s="237">
        <f>99.2+55.1</f>
        <v>154.30000000000001</v>
      </c>
      <c r="P37" s="237">
        <f>98.4+60.5</f>
        <v>158.9</v>
      </c>
      <c r="Q37" s="237">
        <f>97.5+61.2</f>
        <v>158.69999999999999</v>
      </c>
      <c r="R37" s="237">
        <f>99.6+55.6</f>
        <v>155.19999999999999</v>
      </c>
      <c r="S37" s="239">
        <v>155.19999999999999</v>
      </c>
      <c r="T37" s="239">
        <f>55.4+99.7</f>
        <v>155.1</v>
      </c>
      <c r="U37" s="239">
        <f>55.4+99.7</f>
        <v>155.1</v>
      </c>
      <c r="V37" s="239">
        <v>157</v>
      </c>
      <c r="W37" s="239">
        <v>157</v>
      </c>
      <c r="X37" s="239">
        <f>55.5+100.7</f>
        <v>156.19999999999999</v>
      </c>
      <c r="Y37" s="239">
        <f>55.5+100.7</f>
        <v>156.19999999999999</v>
      </c>
      <c r="Z37" s="239">
        <f>55.5+100.7</f>
        <v>156.19999999999999</v>
      </c>
      <c r="AA37" s="239">
        <v>158.6</v>
      </c>
      <c r="AB37" s="239">
        <f>57+99.3</f>
        <v>156.30000000000001</v>
      </c>
      <c r="AC37" s="239">
        <f>57+99.3</f>
        <v>156.30000000000001</v>
      </c>
      <c r="AD37" s="239">
        <f>57+99.3</f>
        <v>156.30000000000001</v>
      </c>
      <c r="AE37" s="239">
        <f>57+99.3</f>
        <v>156.30000000000001</v>
      </c>
      <c r="AF37" s="239">
        <f>57+99.3</f>
        <v>156.30000000000001</v>
      </c>
      <c r="AG37" s="235">
        <v>240</v>
      </c>
      <c r="AH37" s="226">
        <f t="shared" si="2"/>
        <v>159.69999999999999</v>
      </c>
      <c r="AI37" s="227">
        <f t="shared" si="3"/>
        <v>151.5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0</v>
      </c>
      <c r="C38" s="241">
        <f t="shared" si="4"/>
        <v>756.59999999999991</v>
      </c>
      <c r="D38" s="241">
        <f t="shared" si="4"/>
        <v>773</v>
      </c>
      <c r="E38" s="241">
        <f t="shared" si="4"/>
        <v>760.89999999999986</v>
      </c>
      <c r="F38" s="241">
        <f t="shared" si="4"/>
        <v>760.89999999999986</v>
      </c>
      <c r="G38" s="241">
        <f t="shared" si="4"/>
        <v>760.89999999999986</v>
      </c>
      <c r="H38" s="241">
        <f t="shared" si="4"/>
        <v>734.89999999999986</v>
      </c>
      <c r="I38" s="241">
        <f t="shared" si="4"/>
        <v>784.89999999999986</v>
      </c>
      <c r="J38" s="241">
        <f t="shared" si="4"/>
        <v>792.89999999999986</v>
      </c>
      <c r="K38" s="241">
        <f t="shared" si="4"/>
        <v>796.89999999999986</v>
      </c>
      <c r="L38" s="241">
        <f t="shared" si="4"/>
        <v>796.89999999999986</v>
      </c>
      <c r="M38" s="241">
        <f t="shared" si="4"/>
        <v>838</v>
      </c>
      <c r="N38" s="241">
        <f t="shared" si="4"/>
        <v>838.19999999999993</v>
      </c>
      <c r="O38" s="241">
        <f t="shared" si="4"/>
        <v>835.5</v>
      </c>
      <c r="P38" s="241">
        <f t="shared" si="4"/>
        <v>834.9</v>
      </c>
      <c r="Q38" s="241">
        <f t="shared" si="4"/>
        <v>839.3</v>
      </c>
      <c r="R38" s="241">
        <f t="shared" si="4"/>
        <v>839.19999999999993</v>
      </c>
      <c r="S38" s="241">
        <f t="shared" si="4"/>
        <v>839.19999999999993</v>
      </c>
      <c r="T38" s="241">
        <f t="shared" si="4"/>
        <v>833.19999999999993</v>
      </c>
      <c r="U38" s="241">
        <f t="shared" si="4"/>
        <v>824.19999999999993</v>
      </c>
      <c r="V38" s="241">
        <f t="shared" si="4"/>
        <v>824.19999999999993</v>
      </c>
      <c r="W38" s="241">
        <f t="shared" si="4"/>
        <v>824.19999999999993</v>
      </c>
      <c r="X38" s="241">
        <f t="shared" si="4"/>
        <v>822.19999999999993</v>
      </c>
      <c r="Y38" s="241">
        <f t="shared" si="4"/>
        <v>822.19999999999993</v>
      </c>
      <c r="Z38" s="241">
        <f t="shared" si="4"/>
        <v>822.19999999999993</v>
      </c>
      <c r="AA38" s="241">
        <f t="shared" si="4"/>
        <v>826.19999999999993</v>
      </c>
      <c r="AB38" s="241">
        <f t="shared" si="4"/>
        <v>798.19999999999993</v>
      </c>
      <c r="AC38" s="241">
        <f t="shared" si="4"/>
        <v>798.19999999999993</v>
      </c>
      <c r="AD38" s="241">
        <f t="shared" si="4"/>
        <v>776.19999999999993</v>
      </c>
      <c r="AE38" s="241">
        <f t="shared" si="4"/>
        <v>776.19999999999993</v>
      </c>
      <c r="AF38" s="241">
        <f t="shared" si="4"/>
        <v>798.19999999999993</v>
      </c>
      <c r="AG38" s="242">
        <f t="shared" si="4"/>
        <v>665.78</v>
      </c>
      <c r="AH38" s="226">
        <f t="shared" si="2"/>
        <v>839.3</v>
      </c>
      <c r="AI38" s="227">
        <f t="shared" si="3"/>
        <v>0</v>
      </c>
      <c r="AK38" s="228"/>
    </row>
    <row r="39" spans="1:88" x14ac:dyDescent="0.25">
      <c r="A39" s="243" t="s">
        <v>47</v>
      </c>
      <c r="B39" s="221"/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/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/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0</v>
      </c>
      <c r="C42" s="241">
        <f>SUM(C39:C41)</f>
        <v>538</v>
      </c>
      <c r="D42" s="241">
        <f t="shared" ref="D42:AG42" si="5">SUM(D39:D41)</f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0</v>
      </c>
      <c r="AK42" s="228"/>
    </row>
    <row r="43" spans="1:88" x14ac:dyDescent="0.25">
      <c r="A43" s="220" t="s">
        <v>51</v>
      </c>
      <c r="B43" s="221"/>
      <c r="C43" s="221">
        <v>142.5</v>
      </c>
      <c r="D43" s="221">
        <v>132.4</v>
      </c>
      <c r="E43" s="221">
        <v>134.6</v>
      </c>
      <c r="F43" s="221">
        <v>121.4</v>
      </c>
      <c r="G43" s="221">
        <v>121.3</v>
      </c>
      <c r="H43" s="221">
        <v>143.1</v>
      </c>
      <c r="I43" s="221">
        <v>143.1</v>
      </c>
      <c r="J43" s="221">
        <v>143.69999999999999</v>
      </c>
      <c r="K43" s="221">
        <v>143.69999999999999</v>
      </c>
      <c r="L43" s="221">
        <v>143.5</v>
      </c>
      <c r="M43" s="221">
        <v>143.5</v>
      </c>
      <c r="N43" s="221">
        <v>143.4</v>
      </c>
      <c r="O43" s="221">
        <v>143.69999999999999</v>
      </c>
      <c r="P43" s="221">
        <v>143.69999999999999</v>
      </c>
      <c r="Q43" s="221">
        <v>143.80000000000001</v>
      </c>
      <c r="R43" s="221">
        <v>144.1</v>
      </c>
      <c r="S43" s="221">
        <v>143.80000000000001</v>
      </c>
      <c r="T43" s="221">
        <v>143.80000000000001</v>
      </c>
      <c r="U43" s="221">
        <v>143.80000000000001</v>
      </c>
      <c r="V43" s="221">
        <v>143.80000000000001</v>
      </c>
      <c r="W43" s="221">
        <v>143.80000000000001</v>
      </c>
      <c r="X43" s="221">
        <v>143.80000000000001</v>
      </c>
      <c r="Y43" s="221">
        <v>143.80000000000001</v>
      </c>
      <c r="Z43" s="221">
        <v>143.80000000000001</v>
      </c>
      <c r="AA43" s="221">
        <v>143.80000000000001</v>
      </c>
      <c r="AB43" s="221">
        <v>143.30000000000001</v>
      </c>
      <c r="AC43" s="221">
        <v>143.30000000000001</v>
      </c>
      <c r="AD43" s="221">
        <v>143.30000000000001</v>
      </c>
      <c r="AE43" s="221">
        <v>143.30000000000001</v>
      </c>
      <c r="AF43" s="221">
        <v>143.30000000000001</v>
      </c>
      <c r="AG43" s="230">
        <v>144</v>
      </c>
      <c r="AH43" s="226">
        <f t="shared" si="2"/>
        <v>144.1</v>
      </c>
      <c r="AI43" s="227">
        <f t="shared" si="3"/>
        <v>121.3</v>
      </c>
      <c r="AK43" s="228"/>
    </row>
    <row r="44" spans="1:88" x14ac:dyDescent="0.25">
      <c r="A44" s="234" t="s">
        <v>52</v>
      </c>
      <c r="B44" s="245"/>
      <c r="C44" s="245">
        <v>51</v>
      </c>
      <c r="D44" s="245">
        <v>51.3</v>
      </c>
      <c r="E44" s="245">
        <v>50.6</v>
      </c>
      <c r="F44" s="245">
        <v>52.7</v>
      </c>
      <c r="G44" s="245">
        <v>52.2</v>
      </c>
      <c r="H44" s="245">
        <v>70.400000000000006</v>
      </c>
      <c r="I44" s="245">
        <v>71.8</v>
      </c>
      <c r="J44" s="245">
        <v>71.8</v>
      </c>
      <c r="K44" s="245">
        <v>71.8</v>
      </c>
      <c r="L44" s="245">
        <v>73.400000000000006</v>
      </c>
      <c r="M44" s="245">
        <v>73.400000000000006</v>
      </c>
      <c r="N44" s="221">
        <v>71.099999999999994</v>
      </c>
      <c r="O44" s="221">
        <v>73.8</v>
      </c>
      <c r="P44" s="221">
        <v>73.599999999999994</v>
      </c>
      <c r="Q44" s="221">
        <v>71.5</v>
      </c>
      <c r="R44" s="221">
        <v>70.599999999999994</v>
      </c>
      <c r="S44" s="245">
        <v>71</v>
      </c>
      <c r="T44" s="245">
        <v>71</v>
      </c>
      <c r="U44" s="245">
        <v>71</v>
      </c>
      <c r="V44" s="245">
        <v>71</v>
      </c>
      <c r="W44" s="245">
        <v>71</v>
      </c>
      <c r="X44" s="245">
        <v>71</v>
      </c>
      <c r="Y44" s="245">
        <v>71</v>
      </c>
      <c r="Z44" s="245">
        <v>71</v>
      </c>
      <c r="AA44" s="245">
        <v>71</v>
      </c>
      <c r="AB44" s="245">
        <v>71.400000000000006</v>
      </c>
      <c r="AC44" s="245">
        <v>71.400000000000006</v>
      </c>
      <c r="AD44" s="245">
        <v>71.400000000000006</v>
      </c>
      <c r="AE44" s="245">
        <v>70</v>
      </c>
      <c r="AF44" s="245">
        <v>70</v>
      </c>
      <c r="AG44" s="235">
        <v>70</v>
      </c>
      <c r="AH44" s="226">
        <f t="shared" si="2"/>
        <v>73.8</v>
      </c>
      <c r="AI44" s="227">
        <f t="shared" si="3"/>
        <v>50.6</v>
      </c>
      <c r="AK44" s="228"/>
    </row>
    <row r="45" spans="1:88" x14ac:dyDescent="0.25">
      <c r="A45" s="234" t="s">
        <v>53</v>
      </c>
      <c r="B45" s="245"/>
      <c r="C45" s="245">
        <v>56.3</v>
      </c>
      <c r="D45" s="245">
        <v>58.1</v>
      </c>
      <c r="E45" s="245">
        <v>60.5</v>
      </c>
      <c r="F45" s="245">
        <v>50.7</v>
      </c>
      <c r="G45" s="245">
        <v>51.1</v>
      </c>
      <c r="H45" s="245">
        <v>63.3</v>
      </c>
      <c r="I45" s="245">
        <v>63.2</v>
      </c>
      <c r="J45" s="245">
        <v>63.2</v>
      </c>
      <c r="K45" s="245">
        <v>63.2</v>
      </c>
      <c r="L45" s="245">
        <v>63.6</v>
      </c>
      <c r="M45" s="245">
        <v>63.6</v>
      </c>
      <c r="N45" s="221">
        <v>63.9</v>
      </c>
      <c r="O45" s="221">
        <v>64</v>
      </c>
      <c r="P45" s="221">
        <v>64.099999999999994</v>
      </c>
      <c r="Q45" s="221">
        <v>63.8</v>
      </c>
      <c r="R45" s="221">
        <v>64.2</v>
      </c>
      <c r="S45" s="245">
        <v>64.5</v>
      </c>
      <c r="T45" s="245">
        <v>64.5</v>
      </c>
      <c r="U45" s="245">
        <v>64.5</v>
      </c>
      <c r="V45" s="245">
        <v>64.5</v>
      </c>
      <c r="W45" s="245">
        <v>64.5</v>
      </c>
      <c r="X45" s="245">
        <v>64.5</v>
      </c>
      <c r="Y45" s="245">
        <v>64.5</v>
      </c>
      <c r="Z45" s="245">
        <v>64.5</v>
      </c>
      <c r="AA45" s="245">
        <v>64.5</v>
      </c>
      <c r="AB45" s="245">
        <v>63.9</v>
      </c>
      <c r="AC45" s="245">
        <v>63.9</v>
      </c>
      <c r="AD45" s="245">
        <v>63.9</v>
      </c>
      <c r="AE45" s="245">
        <v>63.9</v>
      </c>
      <c r="AF45" s="245">
        <v>63.9</v>
      </c>
      <c r="AG45" s="235">
        <v>69</v>
      </c>
      <c r="AH45" s="226">
        <f t="shared" si="2"/>
        <v>64.5</v>
      </c>
      <c r="AI45" s="227">
        <f t="shared" si="3"/>
        <v>50.7</v>
      </c>
      <c r="AK45" s="228"/>
    </row>
    <row r="46" spans="1:88" x14ac:dyDescent="0.25">
      <c r="A46" s="234" t="s">
        <v>54</v>
      </c>
      <c r="B46" s="237"/>
      <c r="C46" s="237">
        <v>6</v>
      </c>
      <c r="D46" s="237">
        <v>9.6</v>
      </c>
      <c r="E46" s="237">
        <v>9.6</v>
      </c>
      <c r="F46" s="237">
        <v>9.6</v>
      </c>
      <c r="G46" s="237">
        <v>9.6</v>
      </c>
      <c r="H46" s="237">
        <v>9.6</v>
      </c>
      <c r="I46" s="237">
        <v>30</v>
      </c>
      <c r="J46" s="237">
        <v>60.4</v>
      </c>
      <c r="K46" s="237">
        <v>60.4</v>
      </c>
      <c r="L46" s="237">
        <v>60.4</v>
      </c>
      <c r="M46" s="237">
        <v>60.4</v>
      </c>
      <c r="N46" s="221">
        <v>60.2</v>
      </c>
      <c r="O46" s="221">
        <v>60.4</v>
      </c>
      <c r="P46" s="221">
        <v>60.2</v>
      </c>
      <c r="Q46" s="221">
        <v>60.4</v>
      </c>
      <c r="R46" s="221">
        <v>60.4</v>
      </c>
      <c r="S46" s="221">
        <v>60.4</v>
      </c>
      <c r="T46" s="221">
        <v>60.4</v>
      </c>
      <c r="U46" s="221">
        <v>60.4</v>
      </c>
      <c r="V46" s="221">
        <v>60.4</v>
      </c>
      <c r="W46" s="221">
        <v>60.4</v>
      </c>
      <c r="X46" s="221">
        <v>60.4</v>
      </c>
      <c r="Y46" s="221">
        <v>60.4</v>
      </c>
      <c r="Z46" s="221">
        <v>60.4</v>
      </c>
      <c r="AA46" s="245">
        <v>60.4</v>
      </c>
      <c r="AB46" s="237">
        <v>60.4</v>
      </c>
      <c r="AC46" s="237">
        <v>60.4</v>
      </c>
      <c r="AD46" s="237">
        <v>60.4</v>
      </c>
      <c r="AE46" s="237">
        <v>60</v>
      </c>
      <c r="AF46" s="237">
        <v>60</v>
      </c>
      <c r="AG46" s="235">
        <v>60</v>
      </c>
      <c r="AH46" s="226">
        <f t="shared" si="2"/>
        <v>60.4</v>
      </c>
      <c r="AI46" s="227">
        <f t="shared" si="3"/>
        <v>6</v>
      </c>
      <c r="AK46" s="228"/>
    </row>
    <row r="47" spans="1:88" x14ac:dyDescent="0.25">
      <c r="A47" s="234" t="s">
        <v>55</v>
      </c>
      <c r="B47" s="237"/>
      <c r="C47" s="237">
        <v>28.4</v>
      </c>
      <c r="D47" s="237">
        <v>28.7</v>
      </c>
      <c r="E47" s="237">
        <v>28.8</v>
      </c>
      <c r="F47" s="237">
        <v>28.8</v>
      </c>
      <c r="G47" s="237">
        <v>28.5</v>
      </c>
      <c r="H47" s="237">
        <v>28.4</v>
      </c>
      <c r="I47" s="237">
        <v>28.3</v>
      </c>
      <c r="J47" s="237">
        <v>28.3</v>
      </c>
      <c r="K47" s="237">
        <v>28.3</v>
      </c>
      <c r="L47" s="237">
        <v>28.4</v>
      </c>
      <c r="M47" s="237">
        <v>28.4</v>
      </c>
      <c r="N47" s="221">
        <v>28.3</v>
      </c>
      <c r="O47" s="221">
        <v>28.4</v>
      </c>
      <c r="P47" s="221">
        <v>28.3</v>
      </c>
      <c r="Q47" s="221">
        <v>28.3</v>
      </c>
      <c r="R47" s="221">
        <v>28.3</v>
      </c>
      <c r="S47" s="221">
        <v>28.3</v>
      </c>
      <c r="T47" s="221">
        <v>28.3</v>
      </c>
      <c r="U47" s="221">
        <v>28.3</v>
      </c>
      <c r="V47" s="221">
        <v>28.3</v>
      </c>
      <c r="W47" s="221">
        <v>28.3</v>
      </c>
      <c r="X47" s="221">
        <v>28.3</v>
      </c>
      <c r="Y47" s="221">
        <v>28.3</v>
      </c>
      <c r="Z47" s="221">
        <v>28.3</v>
      </c>
      <c r="AA47" s="245">
        <v>28.3</v>
      </c>
      <c r="AB47" s="245">
        <v>28.3</v>
      </c>
      <c r="AC47" s="245">
        <v>28.3</v>
      </c>
      <c r="AD47" s="245">
        <v>28.3</v>
      </c>
      <c r="AE47" s="245">
        <v>28.3</v>
      </c>
      <c r="AF47" s="245">
        <v>28.3</v>
      </c>
      <c r="AG47" s="235">
        <v>30</v>
      </c>
      <c r="AH47" s="226">
        <f t="shared" si="2"/>
        <v>28.8</v>
      </c>
      <c r="AI47" s="227">
        <f t="shared" si="3"/>
        <v>28.3</v>
      </c>
      <c r="AK47" s="228"/>
    </row>
    <row r="48" spans="1:88" x14ac:dyDescent="0.25">
      <c r="A48" s="234" t="s">
        <v>56</v>
      </c>
      <c r="B48" s="245"/>
      <c r="C48" s="245">
        <v>0</v>
      </c>
      <c r="D48" s="245">
        <v>0</v>
      </c>
      <c r="E48" s="245">
        <v>0</v>
      </c>
      <c r="F48" s="237">
        <v>0</v>
      </c>
      <c r="G48" s="237">
        <v>0</v>
      </c>
      <c r="H48" s="237">
        <v>0</v>
      </c>
      <c r="I48" s="237">
        <v>0</v>
      </c>
      <c r="J48" s="237">
        <v>0</v>
      </c>
      <c r="K48" s="237">
        <v>0</v>
      </c>
      <c r="L48" s="237">
        <v>0</v>
      </c>
      <c r="M48" s="237">
        <v>4</v>
      </c>
      <c r="N48" s="237">
        <v>4</v>
      </c>
      <c r="O48" s="237">
        <v>4</v>
      </c>
      <c r="P48" s="221">
        <v>5</v>
      </c>
      <c r="Q48" s="221">
        <v>5</v>
      </c>
      <c r="R48" s="221">
        <v>5</v>
      </c>
      <c r="S48" s="221">
        <v>10</v>
      </c>
      <c r="T48" s="221">
        <v>10</v>
      </c>
      <c r="U48" s="221">
        <v>10</v>
      </c>
      <c r="V48" s="221">
        <v>10</v>
      </c>
      <c r="W48" s="221">
        <v>2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/>
      <c r="C49" s="245">
        <v>16.600000000000001</v>
      </c>
      <c r="D49" s="245">
        <v>16.5</v>
      </c>
      <c r="E49" s="245">
        <v>16.5</v>
      </c>
      <c r="F49" s="245">
        <v>16.399999999999999</v>
      </c>
      <c r="G49" s="245">
        <v>17.100000000000001</v>
      </c>
      <c r="H49" s="245">
        <v>17</v>
      </c>
      <c r="I49" s="245">
        <v>17</v>
      </c>
      <c r="J49" s="245">
        <v>17</v>
      </c>
      <c r="K49" s="245">
        <v>17</v>
      </c>
      <c r="L49" s="245">
        <v>17</v>
      </c>
      <c r="M49" s="245">
        <v>17</v>
      </c>
      <c r="N49" s="245">
        <v>17</v>
      </c>
      <c r="O49" s="245">
        <v>17</v>
      </c>
      <c r="P49" s="221">
        <v>17.100000000000001</v>
      </c>
      <c r="Q49" s="221">
        <v>17.100000000000001</v>
      </c>
      <c r="R49" s="221">
        <v>17.100000000000001</v>
      </c>
      <c r="S49" s="221">
        <v>17.100000000000001</v>
      </c>
      <c r="T49" s="221">
        <v>17.100000000000001</v>
      </c>
      <c r="U49" s="221">
        <v>17.100000000000001</v>
      </c>
      <c r="V49" s="221">
        <v>17.100000000000001</v>
      </c>
      <c r="W49" s="221">
        <v>17.100000000000001</v>
      </c>
      <c r="X49" s="221">
        <v>17.100000000000001</v>
      </c>
      <c r="Y49" s="221">
        <v>17.100000000000001</v>
      </c>
      <c r="Z49" s="221">
        <v>17.100000000000001</v>
      </c>
      <c r="AA49" s="221">
        <v>16.5</v>
      </c>
      <c r="AB49" s="221">
        <v>16.5</v>
      </c>
      <c r="AC49" s="221">
        <v>16.5</v>
      </c>
      <c r="AD49" s="221">
        <v>16.5</v>
      </c>
      <c r="AE49" s="221">
        <v>16.5</v>
      </c>
      <c r="AF49" s="221">
        <v>16.5</v>
      </c>
      <c r="AG49" s="235">
        <v>24</v>
      </c>
      <c r="AH49" s="226">
        <f t="shared" si="2"/>
        <v>17.100000000000001</v>
      </c>
      <c r="AI49" s="227">
        <f t="shared" si="3"/>
        <v>16.399999999999999</v>
      </c>
      <c r="AK49" s="228"/>
    </row>
    <row r="50" spans="1:41" x14ac:dyDescent="0.25">
      <c r="A50" s="234" t="s">
        <v>58</v>
      </c>
      <c r="B50" s="245"/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/>
      <c r="C51" s="245">
        <v>13.1</v>
      </c>
      <c r="D51" s="245">
        <v>12.9</v>
      </c>
      <c r="E51" s="245">
        <v>13</v>
      </c>
      <c r="F51" s="245">
        <v>12.9</v>
      </c>
      <c r="G51" s="245">
        <v>12.9</v>
      </c>
      <c r="H51" s="245">
        <v>12.6</v>
      </c>
      <c r="I51" s="245">
        <v>12.5</v>
      </c>
      <c r="J51" s="245">
        <v>12.5</v>
      </c>
      <c r="K51" s="245">
        <v>12.5</v>
      </c>
      <c r="L51" s="245">
        <v>12.7</v>
      </c>
      <c r="M51" s="245">
        <v>12.7</v>
      </c>
      <c r="N51" s="245">
        <v>13.1</v>
      </c>
      <c r="O51" s="245">
        <v>13.1</v>
      </c>
      <c r="P51" s="245">
        <v>13.1</v>
      </c>
      <c r="Q51" s="245">
        <v>13.1</v>
      </c>
      <c r="R51" s="221">
        <v>13.1</v>
      </c>
      <c r="S51" s="221">
        <v>13.1</v>
      </c>
      <c r="T51" s="221">
        <v>13.1</v>
      </c>
      <c r="U51" s="221">
        <v>13.1</v>
      </c>
      <c r="V51" s="221">
        <v>13.1</v>
      </c>
      <c r="W51" s="221">
        <v>13.1</v>
      </c>
      <c r="X51" s="221">
        <v>13.1</v>
      </c>
      <c r="Y51" s="221">
        <v>13.1</v>
      </c>
      <c r="Z51" s="221">
        <v>13.1</v>
      </c>
      <c r="AA51" s="221">
        <v>12.9</v>
      </c>
      <c r="AB51" s="221">
        <v>12.9</v>
      </c>
      <c r="AC51" s="221">
        <v>12.9</v>
      </c>
      <c r="AD51" s="221">
        <v>12.9</v>
      </c>
      <c r="AE51" s="221">
        <v>12.9</v>
      </c>
      <c r="AF51" s="221">
        <v>12.9</v>
      </c>
      <c r="AG51" s="235">
        <v>14.1</v>
      </c>
      <c r="AH51" s="226">
        <f t="shared" si="2"/>
        <v>13.1</v>
      </c>
      <c r="AI51" s="227">
        <f t="shared" si="3"/>
        <v>12.5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/>
      <c r="C52" s="245">
        <v>7</v>
      </c>
      <c r="D52" s="245">
        <v>7.2</v>
      </c>
      <c r="E52" s="245">
        <v>9.9</v>
      </c>
      <c r="F52" s="245">
        <v>14.1</v>
      </c>
      <c r="G52" s="245">
        <v>14.1</v>
      </c>
      <c r="H52" s="245">
        <v>14.3</v>
      </c>
      <c r="I52" s="245">
        <v>14.2</v>
      </c>
      <c r="J52" s="245">
        <v>14.2</v>
      </c>
      <c r="K52" s="245">
        <v>14.2</v>
      </c>
      <c r="L52" s="245">
        <v>14.2</v>
      </c>
      <c r="M52" s="245">
        <v>14.2</v>
      </c>
      <c r="N52" s="245">
        <v>14.2</v>
      </c>
      <c r="O52" s="245">
        <v>14.2</v>
      </c>
      <c r="P52" s="245">
        <v>14.2</v>
      </c>
      <c r="Q52" s="245">
        <v>14.1</v>
      </c>
      <c r="R52" s="221">
        <v>14</v>
      </c>
      <c r="S52" s="221">
        <v>14</v>
      </c>
      <c r="T52" s="221">
        <v>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14.3</v>
      </c>
      <c r="AI52" s="227">
        <f t="shared" si="3"/>
        <v>4</v>
      </c>
      <c r="AK52" s="228"/>
    </row>
    <row r="53" spans="1:41" x14ac:dyDescent="0.25">
      <c r="A53" s="234" t="s">
        <v>61</v>
      </c>
      <c r="B53" s="245"/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/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3.54</v>
      </c>
      <c r="C56" s="241">
        <f>SUM(C43:C55)</f>
        <v>343.64000000000004</v>
      </c>
      <c r="D56" s="241">
        <f t="shared" ref="D56:AG56" si="6">SUM(D43:D55)</f>
        <v>339.43999999999994</v>
      </c>
      <c r="E56" s="241">
        <f t="shared" si="6"/>
        <v>346.23999999999995</v>
      </c>
      <c r="F56" s="241">
        <f t="shared" si="6"/>
        <v>329.34</v>
      </c>
      <c r="G56" s="241">
        <f t="shared" si="6"/>
        <v>329.54</v>
      </c>
      <c r="H56" s="241">
        <f t="shared" si="6"/>
        <v>381.44000000000005</v>
      </c>
      <c r="I56" s="241">
        <f t="shared" si="6"/>
        <v>402.84</v>
      </c>
      <c r="J56" s="241">
        <f t="shared" si="6"/>
        <v>433.84</v>
      </c>
      <c r="K56" s="241">
        <f t="shared" si="6"/>
        <v>433.84</v>
      </c>
      <c r="L56" s="241">
        <f t="shared" si="6"/>
        <v>435.93999999999994</v>
      </c>
      <c r="M56" s="241">
        <f t="shared" si="6"/>
        <v>439.93999999999994</v>
      </c>
      <c r="N56" s="241">
        <f t="shared" si="6"/>
        <v>437.94</v>
      </c>
      <c r="O56" s="241">
        <f t="shared" si="6"/>
        <v>441.34</v>
      </c>
      <c r="P56" s="241">
        <f t="shared" si="6"/>
        <v>442.04</v>
      </c>
      <c r="Q56" s="241">
        <f t="shared" si="6"/>
        <v>439.84000000000009</v>
      </c>
      <c r="R56" s="241">
        <f t="shared" si="6"/>
        <v>439.54</v>
      </c>
      <c r="S56" s="241">
        <f t="shared" si="6"/>
        <v>444.94000000000005</v>
      </c>
      <c r="T56" s="241">
        <f t="shared" si="6"/>
        <v>434.94000000000005</v>
      </c>
      <c r="U56" s="241">
        <f t="shared" si="6"/>
        <v>444.94000000000005</v>
      </c>
      <c r="V56" s="241">
        <f t="shared" si="6"/>
        <v>444.94000000000005</v>
      </c>
      <c r="W56" s="241">
        <f t="shared" si="6"/>
        <v>436.94000000000005</v>
      </c>
      <c r="X56" s="241">
        <f t="shared" si="6"/>
        <v>434.94000000000005</v>
      </c>
      <c r="Y56" s="241">
        <f t="shared" si="6"/>
        <v>434.94000000000005</v>
      </c>
      <c r="Z56" s="241">
        <f t="shared" si="6"/>
        <v>434.94000000000005</v>
      </c>
      <c r="AA56" s="241">
        <f t="shared" si="6"/>
        <v>434.14</v>
      </c>
      <c r="AB56" s="241">
        <f t="shared" si="6"/>
        <v>433.44</v>
      </c>
      <c r="AC56" s="241">
        <f t="shared" si="6"/>
        <v>433.44</v>
      </c>
      <c r="AD56" s="241">
        <f t="shared" si="6"/>
        <v>433.44</v>
      </c>
      <c r="AE56" s="241">
        <f t="shared" si="6"/>
        <v>431.64</v>
      </c>
      <c r="AF56" s="241">
        <f t="shared" si="6"/>
        <v>431.64</v>
      </c>
      <c r="AG56" s="242">
        <f t="shared" si="6"/>
        <v>489.91</v>
      </c>
      <c r="AH56" s="226">
        <f t="shared" si="2"/>
        <v>444.94000000000005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/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29.7</v>
      </c>
      <c r="P57" s="221">
        <v>10</v>
      </c>
      <c r="Q57" s="221">
        <v>24</v>
      </c>
      <c r="R57" s="221">
        <v>10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16</v>
      </c>
      <c r="AA57" s="221">
        <v>55.2</v>
      </c>
      <c r="AB57" s="221">
        <v>30.1</v>
      </c>
      <c r="AC57" s="221">
        <v>29.4</v>
      </c>
      <c r="AD57" s="221">
        <v>29.4</v>
      </c>
      <c r="AE57" s="221">
        <v>29.4</v>
      </c>
      <c r="AF57" s="221">
        <v>0</v>
      </c>
      <c r="AG57" s="230">
        <v>60</v>
      </c>
      <c r="AH57" s="226">
        <f t="shared" si="2"/>
        <v>55.2</v>
      </c>
      <c r="AI57" s="227">
        <f t="shared" si="3"/>
        <v>0</v>
      </c>
      <c r="AK57" s="228"/>
    </row>
    <row r="58" spans="1:41" x14ac:dyDescent="0.25">
      <c r="A58" s="234" t="s">
        <v>66</v>
      </c>
      <c r="B58" s="245"/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15</v>
      </c>
      <c r="P58" s="245">
        <v>7.1</v>
      </c>
      <c r="Q58" s="245">
        <v>10.9</v>
      </c>
      <c r="R58" s="245">
        <v>4.4000000000000004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5.6</v>
      </c>
      <c r="AA58" s="245">
        <v>27.6</v>
      </c>
      <c r="AB58" s="245">
        <v>9.6999999999999993</v>
      </c>
      <c r="AC58" s="245">
        <v>15</v>
      </c>
      <c r="AD58" s="245">
        <v>15</v>
      </c>
      <c r="AE58" s="245">
        <v>15</v>
      </c>
      <c r="AF58" s="245">
        <v>0</v>
      </c>
      <c r="AG58" s="235">
        <v>32</v>
      </c>
      <c r="AH58" s="226">
        <f t="shared" si="2"/>
        <v>27.6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/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5.5</v>
      </c>
      <c r="P59" s="247">
        <v>2.6</v>
      </c>
      <c r="Q59" s="247">
        <v>4</v>
      </c>
      <c r="R59" s="247">
        <v>1.6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2</v>
      </c>
      <c r="AA59" s="247">
        <v>10.1</v>
      </c>
      <c r="AB59" s="247">
        <v>3.6</v>
      </c>
      <c r="AC59" s="247">
        <v>5.5</v>
      </c>
      <c r="AD59" s="247">
        <v>5.5</v>
      </c>
      <c r="AE59" s="247">
        <v>5.5</v>
      </c>
      <c r="AF59" s="247">
        <v>0</v>
      </c>
      <c r="AG59" s="248">
        <v>14</v>
      </c>
      <c r="AH59" s="226">
        <f t="shared" si="2"/>
        <v>10.1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>SUM(C57:C59)</f>
        <v>0</v>
      </c>
      <c r="D60" s="241">
        <f t="shared" ref="D60:AG60" si="7">SUM(D57:D59)</f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50.2</v>
      </c>
      <c r="P60" s="241">
        <f t="shared" si="7"/>
        <v>19.700000000000003</v>
      </c>
      <c r="Q60" s="241">
        <f t="shared" si="7"/>
        <v>38.9</v>
      </c>
      <c r="R60" s="241">
        <f t="shared" si="7"/>
        <v>16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23.6</v>
      </c>
      <c r="AA60" s="241">
        <f t="shared" si="7"/>
        <v>92.9</v>
      </c>
      <c r="AB60" s="241">
        <f t="shared" si="7"/>
        <v>43.4</v>
      </c>
      <c r="AC60" s="241">
        <f t="shared" si="7"/>
        <v>49.9</v>
      </c>
      <c r="AD60" s="241">
        <f t="shared" si="7"/>
        <v>49.9</v>
      </c>
      <c r="AE60" s="241">
        <f t="shared" si="7"/>
        <v>49.9</v>
      </c>
      <c r="AF60" s="241">
        <f t="shared" si="7"/>
        <v>0</v>
      </c>
      <c r="AG60" s="242">
        <f t="shared" si="7"/>
        <v>106</v>
      </c>
      <c r="AH60" s="226">
        <f t="shared" si="2"/>
        <v>92.9</v>
      </c>
      <c r="AI60" s="227">
        <f t="shared" si="3"/>
        <v>0</v>
      </c>
      <c r="AK60" s="228"/>
    </row>
    <row r="61" spans="1:41" x14ac:dyDescent="0.25">
      <c r="A61" s="220" t="s">
        <v>69</v>
      </c>
      <c r="B61" s="221"/>
      <c r="C61" s="221">
        <v>20.8</v>
      </c>
      <c r="D61" s="221">
        <v>8.5</v>
      </c>
      <c r="E61" s="221">
        <v>6.8</v>
      </c>
      <c r="F61" s="221">
        <v>8.1</v>
      </c>
      <c r="G61" s="221">
        <v>6.7</v>
      </c>
      <c r="H61" s="221">
        <v>5.9</v>
      </c>
      <c r="I61" s="221">
        <v>0</v>
      </c>
      <c r="J61" s="221">
        <v>3.4</v>
      </c>
      <c r="K61" s="221">
        <v>25.3</v>
      </c>
      <c r="L61" s="221">
        <v>16.600000000000001</v>
      </c>
      <c r="M61" s="221">
        <v>16.600000000000001</v>
      </c>
      <c r="N61" s="221">
        <v>70.5</v>
      </c>
      <c r="O61" s="221">
        <v>51.3</v>
      </c>
      <c r="P61" s="221">
        <v>67.099999999999994</v>
      </c>
      <c r="Q61" s="221">
        <v>61.1</v>
      </c>
      <c r="R61" s="221">
        <v>67.2</v>
      </c>
      <c r="S61" s="221">
        <v>63.6</v>
      </c>
      <c r="T61" s="221">
        <v>61.3</v>
      </c>
      <c r="U61" s="221">
        <v>51.7</v>
      </c>
      <c r="V61" s="221">
        <v>52.9</v>
      </c>
      <c r="W61" s="221">
        <v>52.7</v>
      </c>
      <c r="X61" s="221">
        <v>51.2</v>
      </c>
      <c r="Y61" s="221">
        <v>48.6</v>
      </c>
      <c r="Z61" s="221">
        <v>46.5</v>
      </c>
      <c r="AA61" s="221">
        <v>58</v>
      </c>
      <c r="AB61" s="221">
        <v>69.599999999999994</v>
      </c>
      <c r="AC61" s="221">
        <v>71.099999999999994</v>
      </c>
      <c r="AD61" s="221">
        <v>62.5</v>
      </c>
      <c r="AE61" s="221">
        <v>63.1</v>
      </c>
      <c r="AF61" s="221">
        <v>63</v>
      </c>
      <c r="AG61" s="230"/>
      <c r="AH61" s="226">
        <f t="shared" si="2"/>
        <v>71.099999999999994</v>
      </c>
      <c r="AI61" s="227">
        <f t="shared" si="3"/>
        <v>0</v>
      </c>
      <c r="AK61" s="228"/>
    </row>
    <row r="62" spans="1:41" x14ac:dyDescent="0.25">
      <c r="A62" s="234" t="s">
        <v>70</v>
      </c>
      <c r="B62" s="245"/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/>
      <c r="C63" s="245">
        <v>-289</v>
      </c>
      <c r="D63" s="245">
        <v>-284</v>
      </c>
      <c r="E63" s="245">
        <v>-289</v>
      </c>
      <c r="F63" s="245">
        <v>-302.60000000000002</v>
      </c>
      <c r="G63" s="245">
        <v>-260.10000000000002</v>
      </c>
      <c r="H63" s="245">
        <v>-308.10000000000002</v>
      </c>
      <c r="I63" s="245">
        <v>-371.7</v>
      </c>
      <c r="J63" s="245">
        <v>-366.3</v>
      </c>
      <c r="K63" s="245">
        <v>-340.4</v>
      </c>
      <c r="L63" s="245">
        <v>-280.7</v>
      </c>
      <c r="M63" s="245">
        <v>-280.7</v>
      </c>
      <c r="N63" s="245">
        <v>-305.39999999999998</v>
      </c>
      <c r="O63" s="245">
        <v>-281.7</v>
      </c>
      <c r="P63" s="245">
        <v>-261.7</v>
      </c>
      <c r="Q63" s="245">
        <v>-268.5</v>
      </c>
      <c r="R63" s="245">
        <v>-227.5</v>
      </c>
      <c r="S63" s="245">
        <v>-233</v>
      </c>
      <c r="T63" s="245">
        <v>-209.6</v>
      </c>
      <c r="U63" s="245">
        <v>-260</v>
      </c>
      <c r="V63" s="245">
        <v>-275</v>
      </c>
      <c r="W63" s="245">
        <v>-300</v>
      </c>
      <c r="X63" s="245">
        <v>-320</v>
      </c>
      <c r="Y63" s="245">
        <v>-300</v>
      </c>
      <c r="Z63" s="245">
        <v>-200</v>
      </c>
      <c r="AA63" s="245">
        <v>-260</v>
      </c>
      <c r="AB63" s="245">
        <v>-187</v>
      </c>
      <c r="AC63" s="245">
        <v>-208</v>
      </c>
      <c r="AD63" s="245">
        <v>-208</v>
      </c>
      <c r="AE63" s="245">
        <v>-311</v>
      </c>
      <c r="AF63" s="245">
        <v>-305</v>
      </c>
      <c r="AG63" s="255"/>
      <c r="AH63" s="226">
        <f t="shared" si="2"/>
        <v>-187</v>
      </c>
      <c r="AI63" s="227">
        <f t="shared" si="3"/>
        <v>-371.7</v>
      </c>
      <c r="AK63" s="228"/>
    </row>
    <row r="64" spans="1:41" x14ac:dyDescent="0.25">
      <c r="A64" s="234" t="s">
        <v>72</v>
      </c>
      <c r="B64" s="256"/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12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12</v>
      </c>
      <c r="AI64" s="227">
        <f t="shared" si="3"/>
        <v>0</v>
      </c>
      <c r="AK64" s="228"/>
    </row>
    <row r="65" spans="1:88" x14ac:dyDescent="0.25">
      <c r="A65" s="234" t="s">
        <v>73</v>
      </c>
      <c r="B65" s="221"/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/>
      <c r="C66" s="257">
        <v>5</v>
      </c>
      <c r="D66" s="257">
        <v>5</v>
      </c>
      <c r="E66" s="257">
        <v>5</v>
      </c>
      <c r="F66" s="257">
        <v>5</v>
      </c>
      <c r="G66" s="257">
        <v>5</v>
      </c>
      <c r="H66" s="257">
        <v>5</v>
      </c>
      <c r="I66" s="257">
        <v>5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4</v>
      </c>
      <c r="Q66" s="257">
        <v>4</v>
      </c>
      <c r="R66" s="257">
        <v>4</v>
      </c>
      <c r="S66" s="257">
        <v>4</v>
      </c>
      <c r="T66" s="257">
        <v>4</v>
      </c>
      <c r="U66" s="257">
        <v>4</v>
      </c>
      <c r="V66" s="257">
        <v>4</v>
      </c>
      <c r="W66" s="257">
        <v>4</v>
      </c>
      <c r="X66" s="257">
        <v>4</v>
      </c>
      <c r="Y66" s="257">
        <v>4</v>
      </c>
      <c r="Z66" s="257">
        <v>4</v>
      </c>
      <c r="AA66" s="257">
        <v>6</v>
      </c>
      <c r="AB66" s="257">
        <v>6</v>
      </c>
      <c r="AC66" s="257">
        <v>6</v>
      </c>
      <c r="AD66" s="257">
        <v>6</v>
      </c>
      <c r="AE66" s="257">
        <v>6</v>
      </c>
      <c r="AF66" s="257">
        <v>6</v>
      </c>
      <c r="AG66" s="255"/>
      <c r="AH66" s="226">
        <f t="shared" si="2"/>
        <v>6</v>
      </c>
      <c r="AI66" s="227">
        <f t="shared" si="3"/>
        <v>0</v>
      </c>
      <c r="AK66" s="228"/>
    </row>
    <row r="67" spans="1:88" x14ac:dyDescent="0.25">
      <c r="A67" s="234" t="s">
        <v>75</v>
      </c>
      <c r="B67" s="257"/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/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/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/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/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>SUMIF(C61:C71,"&gt;0")</f>
        <v>25.8</v>
      </c>
      <c r="D72" s="241">
        <f t="shared" ref="D72:L72" si="8">SUMIF(D61:D71,"&gt;0")</f>
        <v>13.5</v>
      </c>
      <c r="E72" s="241">
        <f t="shared" si="8"/>
        <v>11.8</v>
      </c>
      <c r="F72" s="241">
        <f t="shared" si="8"/>
        <v>13.1</v>
      </c>
      <c r="G72" s="241">
        <f t="shared" si="8"/>
        <v>11.7</v>
      </c>
      <c r="H72" s="241">
        <f t="shared" si="8"/>
        <v>10.9</v>
      </c>
      <c r="I72" s="241">
        <f t="shared" si="8"/>
        <v>5</v>
      </c>
      <c r="J72" s="241">
        <f t="shared" si="8"/>
        <v>3.4</v>
      </c>
      <c r="K72" s="241">
        <f t="shared" si="8"/>
        <v>25.3</v>
      </c>
      <c r="L72" s="241">
        <f t="shared" si="8"/>
        <v>16.600000000000001</v>
      </c>
      <c r="M72" s="241">
        <f>SUMIF(M61:M71,"&gt;0")</f>
        <v>16.600000000000001</v>
      </c>
      <c r="N72" s="241">
        <f t="shared" ref="N72:AF72" si="9">SUMIF(N61:N71,"&gt;0")</f>
        <v>70.5</v>
      </c>
      <c r="O72" s="241">
        <f t="shared" si="9"/>
        <v>51.3</v>
      </c>
      <c r="P72" s="241">
        <f t="shared" si="9"/>
        <v>71.099999999999994</v>
      </c>
      <c r="Q72" s="241">
        <f t="shared" si="9"/>
        <v>65.099999999999994</v>
      </c>
      <c r="R72" s="241">
        <f t="shared" si="9"/>
        <v>71.2</v>
      </c>
      <c r="S72" s="241">
        <f t="shared" si="9"/>
        <v>67.599999999999994</v>
      </c>
      <c r="T72" s="241">
        <f t="shared" si="9"/>
        <v>65.3</v>
      </c>
      <c r="U72" s="241">
        <f t="shared" si="9"/>
        <v>55.7</v>
      </c>
      <c r="V72" s="241">
        <f t="shared" si="9"/>
        <v>56.9</v>
      </c>
      <c r="W72" s="241">
        <f t="shared" si="9"/>
        <v>56.7</v>
      </c>
      <c r="X72" s="241">
        <f t="shared" si="9"/>
        <v>55.2</v>
      </c>
      <c r="Y72" s="241">
        <f t="shared" si="9"/>
        <v>52.6</v>
      </c>
      <c r="Z72" s="241">
        <f t="shared" si="9"/>
        <v>50.5</v>
      </c>
      <c r="AA72" s="241">
        <f t="shared" si="9"/>
        <v>76</v>
      </c>
      <c r="AB72" s="241">
        <f t="shared" si="9"/>
        <v>75.599999999999994</v>
      </c>
      <c r="AC72" s="241">
        <f t="shared" si="9"/>
        <v>77.099999999999994</v>
      </c>
      <c r="AD72" s="241">
        <f t="shared" si="9"/>
        <v>68.5</v>
      </c>
      <c r="AE72" s="241">
        <f t="shared" si="9"/>
        <v>69.099999999999994</v>
      </c>
      <c r="AF72" s="241">
        <f t="shared" si="9"/>
        <v>69</v>
      </c>
      <c r="AG72" s="261">
        <f>SUM(AG61:AG71)</f>
        <v>0</v>
      </c>
      <c r="AH72" s="226">
        <f t="shared" si="2"/>
        <v>77.099999999999994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3.54</v>
      </c>
      <c r="C77" s="263">
        <f>C38+C42+C60+C56+C72+C76</f>
        <v>1664.04</v>
      </c>
      <c r="D77" s="263">
        <f t="shared" ref="D77:AF77" si="10">D38+D42+D60+D56+D72+D76</f>
        <v>1663.94</v>
      </c>
      <c r="E77" s="263">
        <f t="shared" si="10"/>
        <v>1656.9399999999998</v>
      </c>
      <c r="F77" s="263">
        <f t="shared" si="10"/>
        <v>1641.3399999999997</v>
      </c>
      <c r="G77" s="263">
        <f t="shared" si="10"/>
        <v>1640.1399999999999</v>
      </c>
      <c r="H77" s="263">
        <f t="shared" si="10"/>
        <v>1665.24</v>
      </c>
      <c r="I77" s="263">
        <f t="shared" si="10"/>
        <v>1730.7399999999998</v>
      </c>
      <c r="J77" s="263">
        <f t="shared" si="10"/>
        <v>1768.1399999999999</v>
      </c>
      <c r="K77" s="263">
        <f t="shared" si="10"/>
        <v>1794.0399999999997</v>
      </c>
      <c r="L77" s="263">
        <f t="shared" si="10"/>
        <v>1787.4399999999996</v>
      </c>
      <c r="M77" s="263">
        <f t="shared" si="10"/>
        <v>1832.54</v>
      </c>
      <c r="N77" s="263">
        <f t="shared" si="10"/>
        <v>1884.6399999999999</v>
      </c>
      <c r="O77" s="263">
        <f t="shared" si="10"/>
        <v>1916.34</v>
      </c>
      <c r="P77" s="263">
        <f t="shared" si="10"/>
        <v>1905.74</v>
      </c>
      <c r="Q77" s="263">
        <f t="shared" si="10"/>
        <v>1921.14</v>
      </c>
      <c r="R77" s="263">
        <f t="shared" si="10"/>
        <v>1903.9399999999998</v>
      </c>
      <c r="S77" s="263">
        <f t="shared" si="10"/>
        <v>1889.7399999999998</v>
      </c>
      <c r="T77" s="263">
        <f t="shared" si="10"/>
        <v>1871.4399999999998</v>
      </c>
      <c r="U77" s="263">
        <f t="shared" si="10"/>
        <v>1862.84</v>
      </c>
      <c r="V77" s="263">
        <f t="shared" si="10"/>
        <v>1864.04</v>
      </c>
      <c r="W77" s="263">
        <f t="shared" si="10"/>
        <v>1855.84</v>
      </c>
      <c r="X77" s="263">
        <f t="shared" si="10"/>
        <v>1850.34</v>
      </c>
      <c r="Y77" s="263">
        <f t="shared" si="10"/>
        <v>1847.7399999999998</v>
      </c>
      <c r="Z77" s="263">
        <f t="shared" si="10"/>
        <v>1869.2399999999998</v>
      </c>
      <c r="AA77" s="263">
        <f t="shared" si="10"/>
        <v>1967.2399999999998</v>
      </c>
      <c r="AB77" s="263">
        <f t="shared" si="10"/>
        <v>1888.6399999999999</v>
      </c>
      <c r="AC77" s="263">
        <f t="shared" si="10"/>
        <v>1896.6399999999999</v>
      </c>
      <c r="AD77" s="263">
        <f t="shared" si="10"/>
        <v>1866.04</v>
      </c>
      <c r="AE77" s="263">
        <f t="shared" si="10"/>
        <v>1864.8399999999997</v>
      </c>
      <c r="AF77" s="263">
        <f t="shared" si="10"/>
        <v>1836.8399999999997</v>
      </c>
      <c r="AG77" s="242">
        <f>AG38+AG42+AG60+AG56+AG72+AG76</f>
        <v>1855.1900000000003</v>
      </c>
      <c r="AH77" s="226">
        <f t="shared" si="2"/>
        <v>1967.2399999999998</v>
      </c>
      <c r="AI77" s="227">
        <f t="shared" si="3"/>
        <v>3.54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3.54</v>
      </c>
      <c r="C79" s="263">
        <f>C77+C78</f>
        <v>1664.04</v>
      </c>
      <c r="D79" s="263">
        <f t="shared" ref="D79:AF79" si="11">D77+D78</f>
        <v>1663.94</v>
      </c>
      <c r="E79" s="263">
        <f t="shared" si="11"/>
        <v>1656.9399999999998</v>
      </c>
      <c r="F79" s="263">
        <f t="shared" si="11"/>
        <v>1641.3399999999997</v>
      </c>
      <c r="G79" s="263">
        <f t="shared" si="11"/>
        <v>1640.1399999999999</v>
      </c>
      <c r="H79" s="263">
        <f t="shared" si="11"/>
        <v>1665.24</v>
      </c>
      <c r="I79" s="263">
        <f t="shared" si="11"/>
        <v>1730.7399999999998</v>
      </c>
      <c r="J79" s="263">
        <f t="shared" si="11"/>
        <v>1768.1399999999999</v>
      </c>
      <c r="K79" s="263">
        <f t="shared" si="11"/>
        <v>1794.0399999999997</v>
      </c>
      <c r="L79" s="263">
        <f t="shared" si="11"/>
        <v>1787.4399999999996</v>
      </c>
      <c r="M79" s="263">
        <f t="shared" si="11"/>
        <v>1832.54</v>
      </c>
      <c r="N79" s="263">
        <f t="shared" si="11"/>
        <v>1884.6399999999999</v>
      </c>
      <c r="O79" s="263">
        <f t="shared" si="11"/>
        <v>1916.34</v>
      </c>
      <c r="P79" s="263">
        <f t="shared" si="11"/>
        <v>1905.74</v>
      </c>
      <c r="Q79" s="263">
        <f t="shared" si="11"/>
        <v>1921.14</v>
      </c>
      <c r="R79" s="263">
        <f t="shared" si="11"/>
        <v>1903.9399999999998</v>
      </c>
      <c r="S79" s="263">
        <f t="shared" si="11"/>
        <v>1889.7399999999998</v>
      </c>
      <c r="T79" s="263">
        <f t="shared" si="11"/>
        <v>1871.4399999999998</v>
      </c>
      <c r="U79" s="263">
        <f t="shared" si="11"/>
        <v>1862.84</v>
      </c>
      <c r="V79" s="263">
        <f t="shared" si="11"/>
        <v>1864.04</v>
      </c>
      <c r="W79" s="263">
        <f t="shared" si="11"/>
        <v>1855.84</v>
      </c>
      <c r="X79" s="263">
        <f t="shared" si="11"/>
        <v>1850.34</v>
      </c>
      <c r="Y79" s="263">
        <f t="shared" si="11"/>
        <v>1847.7399999999998</v>
      </c>
      <c r="Z79" s="263">
        <f t="shared" si="11"/>
        <v>1869.2399999999998</v>
      </c>
      <c r="AA79" s="263">
        <f t="shared" si="11"/>
        <v>1967.2399999999998</v>
      </c>
      <c r="AB79" s="263">
        <f t="shared" si="11"/>
        <v>1888.6399999999999</v>
      </c>
      <c r="AC79" s="263">
        <f t="shared" si="11"/>
        <v>1896.6399999999999</v>
      </c>
      <c r="AD79" s="263">
        <f t="shared" si="11"/>
        <v>1866.04</v>
      </c>
      <c r="AE79" s="263">
        <f t="shared" si="11"/>
        <v>1864.8399999999997</v>
      </c>
      <c r="AF79" s="263">
        <f t="shared" si="11"/>
        <v>1836.8399999999997</v>
      </c>
      <c r="AG79" s="261">
        <f>AG76+AG72+AG60+AG56+AG38+AG78</f>
        <v>1317.0900000000001</v>
      </c>
      <c r="AH79" s="226">
        <f t="shared" si="2"/>
        <v>1967.2399999999998</v>
      </c>
      <c r="AI79" s="227">
        <f t="shared" si="3"/>
        <v>3.54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3.54</v>
      </c>
      <c r="C80" s="263">
        <f t="shared" si="12"/>
        <v>1375.04</v>
      </c>
      <c r="D80" s="263">
        <f t="shared" si="12"/>
        <v>1379.94</v>
      </c>
      <c r="E80" s="263">
        <f t="shared" si="12"/>
        <v>1367.9399999999998</v>
      </c>
      <c r="F80" s="263">
        <f t="shared" si="12"/>
        <v>1338.7399999999998</v>
      </c>
      <c r="G80" s="263">
        <f t="shared" si="12"/>
        <v>1380.04</v>
      </c>
      <c r="H80" s="263">
        <f t="shared" si="12"/>
        <v>1357.1399999999999</v>
      </c>
      <c r="I80" s="263">
        <f t="shared" si="12"/>
        <v>1359.0399999999997</v>
      </c>
      <c r="J80" s="263">
        <f t="shared" si="12"/>
        <v>1401.84</v>
      </c>
      <c r="K80" s="263">
        <f t="shared" si="12"/>
        <v>1453.6399999999999</v>
      </c>
      <c r="L80" s="263">
        <f t="shared" si="12"/>
        <v>1506.7399999999996</v>
      </c>
      <c r="M80" s="263">
        <f t="shared" si="12"/>
        <v>1551.84</v>
      </c>
      <c r="N80" s="263">
        <f t="shared" si="12"/>
        <v>1579.2399999999998</v>
      </c>
      <c r="O80" s="263">
        <f t="shared" si="12"/>
        <v>1634.6399999999999</v>
      </c>
      <c r="P80" s="263">
        <f t="shared" si="12"/>
        <v>1644.04</v>
      </c>
      <c r="Q80" s="263">
        <f t="shared" si="12"/>
        <v>1652.64</v>
      </c>
      <c r="R80" s="263">
        <f t="shared" si="12"/>
        <v>1676.4399999999998</v>
      </c>
      <c r="S80" s="263">
        <f t="shared" si="12"/>
        <v>1656.7399999999998</v>
      </c>
      <c r="T80" s="263">
        <f t="shared" si="12"/>
        <v>1661.84</v>
      </c>
      <c r="U80" s="263">
        <f t="shared" si="12"/>
        <v>1602.84</v>
      </c>
      <c r="V80" s="263">
        <f t="shared" si="12"/>
        <v>1589.04</v>
      </c>
      <c r="W80" s="263">
        <f t="shared" si="12"/>
        <v>1555.84</v>
      </c>
      <c r="X80" s="263">
        <f t="shared" si="12"/>
        <v>1530.34</v>
      </c>
      <c r="Y80" s="263">
        <f t="shared" si="12"/>
        <v>1547.7399999999998</v>
      </c>
      <c r="Z80" s="263">
        <f t="shared" si="12"/>
        <v>1669.2399999999998</v>
      </c>
      <c r="AA80" s="263">
        <f t="shared" si="12"/>
        <v>1707.2399999999998</v>
      </c>
      <c r="AB80" s="263">
        <f t="shared" si="12"/>
        <v>1701.6399999999999</v>
      </c>
      <c r="AC80" s="263">
        <f t="shared" si="12"/>
        <v>1688.6399999999999</v>
      </c>
      <c r="AD80" s="263">
        <f t="shared" si="12"/>
        <v>1658.04</v>
      </c>
      <c r="AE80" s="263">
        <f t="shared" si="12"/>
        <v>1553.8399999999997</v>
      </c>
      <c r="AF80" s="263">
        <f t="shared" si="12"/>
        <v>1531.8399999999997</v>
      </c>
      <c r="AG80" s="261"/>
      <c r="AH80" s="226">
        <f t="shared" ref="AH80:AH97" si="13">MAX(B80:AF80)</f>
        <v>1707.2399999999998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>IF(C64&lt;0,C64*-1,0)</f>
        <v>0</v>
      </c>
      <c r="D81" s="256">
        <f t="shared" ref="D81:AF81" si="14">IF(D64&lt;0,D64*-1,0)</f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>IF(C62&lt;0,C62*-1,0)</f>
        <v>0</v>
      </c>
      <c r="D82" s="256">
        <f t="shared" ref="D82:AF82" si="16">IF(D62&lt;0,D62*-1,0)</f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>IF(C65&lt;0,C65*-1,0)</f>
        <v>0</v>
      </c>
      <c r="D83" s="256">
        <f t="shared" ref="D83:AF83" si="17">IF(D65&lt;0,D65*-1,0)</f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0</v>
      </c>
      <c r="C84" s="256">
        <f>IF(C63&lt;0,C63*-1,0)</f>
        <v>289</v>
      </c>
      <c r="D84" s="256">
        <f t="shared" ref="D84:AF84" si="18">IF(D63&lt;0,D63*-1,0)</f>
        <v>284</v>
      </c>
      <c r="E84" s="256">
        <f t="shared" si="18"/>
        <v>289</v>
      </c>
      <c r="F84" s="256">
        <f t="shared" si="18"/>
        <v>302.60000000000002</v>
      </c>
      <c r="G84" s="256">
        <f t="shared" si="18"/>
        <v>260.10000000000002</v>
      </c>
      <c r="H84" s="256">
        <f t="shared" si="18"/>
        <v>308.10000000000002</v>
      </c>
      <c r="I84" s="256">
        <f t="shared" si="18"/>
        <v>371.7</v>
      </c>
      <c r="J84" s="256">
        <f t="shared" si="18"/>
        <v>366.3</v>
      </c>
      <c r="K84" s="256">
        <f t="shared" si="18"/>
        <v>340.4</v>
      </c>
      <c r="L84" s="256">
        <f t="shared" si="18"/>
        <v>280.7</v>
      </c>
      <c r="M84" s="256">
        <f t="shared" si="18"/>
        <v>280.7</v>
      </c>
      <c r="N84" s="256">
        <f t="shared" si="18"/>
        <v>305.39999999999998</v>
      </c>
      <c r="O84" s="256">
        <f t="shared" si="18"/>
        <v>281.7</v>
      </c>
      <c r="P84" s="256">
        <f t="shared" si="18"/>
        <v>261.7</v>
      </c>
      <c r="Q84" s="256">
        <f t="shared" si="18"/>
        <v>268.5</v>
      </c>
      <c r="R84" s="256">
        <f t="shared" si="18"/>
        <v>227.5</v>
      </c>
      <c r="S84" s="256">
        <f t="shared" si="18"/>
        <v>233</v>
      </c>
      <c r="T84" s="256">
        <f t="shared" si="18"/>
        <v>209.6</v>
      </c>
      <c r="U84" s="256">
        <f t="shared" si="18"/>
        <v>260</v>
      </c>
      <c r="V84" s="256">
        <f t="shared" si="18"/>
        <v>275</v>
      </c>
      <c r="W84" s="256">
        <f t="shared" si="18"/>
        <v>300</v>
      </c>
      <c r="X84" s="256">
        <f t="shared" si="18"/>
        <v>320</v>
      </c>
      <c r="Y84" s="256">
        <f t="shared" si="18"/>
        <v>300</v>
      </c>
      <c r="Z84" s="256">
        <f t="shared" si="18"/>
        <v>200</v>
      </c>
      <c r="AA84" s="256">
        <f t="shared" si="18"/>
        <v>260</v>
      </c>
      <c r="AB84" s="256">
        <f t="shared" si="18"/>
        <v>187</v>
      </c>
      <c r="AC84" s="256">
        <f t="shared" si="18"/>
        <v>208</v>
      </c>
      <c r="AD84" s="256">
        <f t="shared" si="18"/>
        <v>208</v>
      </c>
      <c r="AE84" s="256">
        <f t="shared" si="18"/>
        <v>311</v>
      </c>
      <c r="AF84" s="256">
        <f t="shared" si="18"/>
        <v>305</v>
      </c>
      <c r="AG84" s="266"/>
      <c r="AH84" s="226">
        <f t="shared" si="13"/>
        <v>371.7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>IF(C61&lt;0,C61*-1,0)</f>
        <v>0</v>
      </c>
      <c r="D85" s="256">
        <f t="shared" ref="D85:AF85" si="19">IF(D61&lt;0,D61*-1,0)</f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0</v>
      </c>
      <c r="C87" s="241">
        <f>SUM(C81:C86)</f>
        <v>289</v>
      </c>
      <c r="D87" s="241">
        <f t="shared" ref="D87:AF87" si="20">SUM(D81:D86)</f>
        <v>284</v>
      </c>
      <c r="E87" s="241">
        <f t="shared" si="20"/>
        <v>289</v>
      </c>
      <c r="F87" s="241">
        <f t="shared" si="20"/>
        <v>302.60000000000002</v>
      </c>
      <c r="G87" s="241">
        <f t="shared" si="20"/>
        <v>260.10000000000002</v>
      </c>
      <c r="H87" s="241">
        <f t="shared" si="20"/>
        <v>308.10000000000002</v>
      </c>
      <c r="I87" s="241">
        <f t="shared" si="20"/>
        <v>371.7</v>
      </c>
      <c r="J87" s="241">
        <f t="shared" si="20"/>
        <v>366.3</v>
      </c>
      <c r="K87" s="241">
        <f t="shared" si="20"/>
        <v>340.4</v>
      </c>
      <c r="L87" s="241">
        <f t="shared" si="20"/>
        <v>280.7</v>
      </c>
      <c r="M87" s="241">
        <f t="shared" si="20"/>
        <v>280.7</v>
      </c>
      <c r="N87" s="241">
        <f t="shared" si="20"/>
        <v>305.39999999999998</v>
      </c>
      <c r="O87" s="241">
        <f t="shared" si="20"/>
        <v>281.7</v>
      </c>
      <c r="P87" s="241">
        <f t="shared" si="20"/>
        <v>261.7</v>
      </c>
      <c r="Q87" s="241">
        <f t="shared" si="20"/>
        <v>268.5</v>
      </c>
      <c r="R87" s="241">
        <f t="shared" si="20"/>
        <v>227.5</v>
      </c>
      <c r="S87" s="241">
        <f t="shared" si="20"/>
        <v>233</v>
      </c>
      <c r="T87" s="241">
        <f t="shared" si="20"/>
        <v>209.6</v>
      </c>
      <c r="U87" s="241">
        <f t="shared" si="20"/>
        <v>260</v>
      </c>
      <c r="V87" s="241">
        <f t="shared" si="20"/>
        <v>275</v>
      </c>
      <c r="W87" s="241">
        <f t="shared" si="20"/>
        <v>300</v>
      </c>
      <c r="X87" s="241">
        <f t="shared" si="20"/>
        <v>320</v>
      </c>
      <c r="Y87" s="241">
        <f t="shared" si="20"/>
        <v>300</v>
      </c>
      <c r="Z87" s="241">
        <f t="shared" si="20"/>
        <v>200</v>
      </c>
      <c r="AA87" s="241">
        <f t="shared" si="20"/>
        <v>260</v>
      </c>
      <c r="AB87" s="241">
        <f t="shared" si="20"/>
        <v>187</v>
      </c>
      <c r="AC87" s="241">
        <f t="shared" si="20"/>
        <v>208</v>
      </c>
      <c r="AD87" s="241">
        <f t="shared" si="20"/>
        <v>208</v>
      </c>
      <c r="AE87" s="241">
        <f t="shared" si="20"/>
        <v>311</v>
      </c>
      <c r="AF87" s="241">
        <f t="shared" si="20"/>
        <v>305</v>
      </c>
      <c r="AG87" s="261"/>
      <c r="AH87" s="226">
        <f t="shared" si="13"/>
        <v>371.7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0</v>
      </c>
      <c r="C88" s="241">
        <f>C72-C87</f>
        <v>-263.2</v>
      </c>
      <c r="D88" s="241">
        <f t="shared" ref="D88:AF88" si="21">D72-D87</f>
        <v>-270.5</v>
      </c>
      <c r="E88" s="241">
        <f t="shared" si="21"/>
        <v>-277.2</v>
      </c>
      <c r="F88" s="241">
        <f t="shared" si="21"/>
        <v>-289.5</v>
      </c>
      <c r="G88" s="241">
        <f t="shared" si="21"/>
        <v>-248.40000000000003</v>
      </c>
      <c r="H88" s="241">
        <f t="shared" si="21"/>
        <v>-297.20000000000005</v>
      </c>
      <c r="I88" s="241">
        <f t="shared" si="21"/>
        <v>-366.7</v>
      </c>
      <c r="J88" s="241">
        <f t="shared" si="21"/>
        <v>-362.90000000000003</v>
      </c>
      <c r="K88" s="241">
        <f t="shared" si="21"/>
        <v>-315.09999999999997</v>
      </c>
      <c r="L88" s="241">
        <f t="shared" si="21"/>
        <v>-264.09999999999997</v>
      </c>
      <c r="M88" s="241">
        <f t="shared" si="21"/>
        <v>-264.09999999999997</v>
      </c>
      <c r="N88" s="241">
        <f t="shared" si="21"/>
        <v>-234.89999999999998</v>
      </c>
      <c r="O88" s="241">
        <f t="shared" si="21"/>
        <v>-230.39999999999998</v>
      </c>
      <c r="P88" s="241">
        <f t="shared" si="21"/>
        <v>-190.6</v>
      </c>
      <c r="Q88" s="241">
        <f t="shared" si="21"/>
        <v>-203.4</v>
      </c>
      <c r="R88" s="241">
        <f t="shared" si="21"/>
        <v>-156.30000000000001</v>
      </c>
      <c r="S88" s="241">
        <f t="shared" si="21"/>
        <v>-165.4</v>
      </c>
      <c r="T88" s="241">
        <f t="shared" si="21"/>
        <v>-144.30000000000001</v>
      </c>
      <c r="U88" s="241">
        <f t="shared" si="21"/>
        <v>-204.3</v>
      </c>
      <c r="V88" s="241">
        <f t="shared" si="21"/>
        <v>-218.1</v>
      </c>
      <c r="W88" s="241">
        <f t="shared" si="21"/>
        <v>-243.3</v>
      </c>
      <c r="X88" s="241">
        <f t="shared" si="21"/>
        <v>-264.8</v>
      </c>
      <c r="Y88" s="241">
        <f t="shared" si="21"/>
        <v>-247.4</v>
      </c>
      <c r="Z88" s="241">
        <f t="shared" si="21"/>
        <v>-149.5</v>
      </c>
      <c r="AA88" s="241">
        <f t="shared" si="21"/>
        <v>-184</v>
      </c>
      <c r="AB88" s="241">
        <f t="shared" si="21"/>
        <v>-111.4</v>
      </c>
      <c r="AC88" s="241">
        <f t="shared" si="21"/>
        <v>-130.9</v>
      </c>
      <c r="AD88" s="241">
        <f t="shared" si="21"/>
        <v>-139.5</v>
      </c>
      <c r="AE88" s="241">
        <f t="shared" si="21"/>
        <v>-241.9</v>
      </c>
      <c r="AF88" s="241">
        <f t="shared" si="21"/>
        <v>-236</v>
      </c>
      <c r="AG88" s="261"/>
      <c r="AH88" s="226">
        <f t="shared" si="13"/>
        <v>0</v>
      </c>
      <c r="AI88" s="227">
        <f t="shared" si="15"/>
        <v>-366.7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/>
      <c r="C89" s="269">
        <v>50.03</v>
      </c>
      <c r="D89" s="269">
        <v>49.97</v>
      </c>
      <c r="E89" s="269">
        <v>50.005000000000003</v>
      </c>
      <c r="F89" s="269">
        <v>50.045999999999999</v>
      </c>
      <c r="G89" s="269">
        <v>49.997</v>
      </c>
      <c r="H89" s="269">
        <v>49.996000000000002</v>
      </c>
      <c r="I89" s="269">
        <v>49.887</v>
      </c>
      <c r="J89" s="269">
        <v>49.807000000000002</v>
      </c>
      <c r="K89" s="269">
        <v>49.966999999999999</v>
      </c>
      <c r="L89" s="269">
        <v>50.023000000000003</v>
      </c>
      <c r="M89" s="269">
        <v>50.003100000000003</v>
      </c>
      <c r="N89" s="269">
        <v>50.040999999999997</v>
      </c>
      <c r="O89" s="269">
        <v>49.905000000000001</v>
      </c>
      <c r="P89" s="269">
        <v>49.783999999999999</v>
      </c>
      <c r="Q89" s="269">
        <v>50.023000000000003</v>
      </c>
      <c r="R89" s="269">
        <v>50.088000000000001</v>
      </c>
      <c r="S89" s="269">
        <v>49.960999999999999</v>
      </c>
      <c r="T89" s="269">
        <v>49.962000000000003</v>
      </c>
      <c r="U89" s="269">
        <v>50.021000000000001</v>
      </c>
      <c r="V89" s="269">
        <v>50.06</v>
      </c>
      <c r="W89" s="269">
        <v>50</v>
      </c>
      <c r="X89" s="269">
        <v>49.984999999999999</v>
      </c>
      <c r="Y89" s="269">
        <v>49.831000000000003</v>
      </c>
      <c r="Z89" s="269">
        <v>49.819000000000003</v>
      </c>
      <c r="AA89" s="269">
        <v>49.960999999999999</v>
      </c>
      <c r="AB89" s="269">
        <v>50.054000000000002</v>
      </c>
      <c r="AC89" s="269">
        <v>50.003999999999998</v>
      </c>
      <c r="AD89" s="269">
        <v>50.029000000000003</v>
      </c>
      <c r="AE89" s="269">
        <v>49.822000000000003</v>
      </c>
      <c r="AF89" s="269">
        <v>50.030999999999999</v>
      </c>
      <c r="AG89" s="270"/>
      <c r="AH89" s="226">
        <f t="shared" si="13"/>
        <v>50.088000000000001</v>
      </c>
      <c r="AI89" s="227">
        <f t="shared" si="15"/>
        <v>49.783999999999999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/>
      <c r="C90" s="245">
        <v>124.4</v>
      </c>
      <c r="D90" s="245">
        <v>123.7</v>
      </c>
      <c r="E90" s="245">
        <v>125.6</v>
      </c>
      <c r="F90" s="245">
        <v>124.3</v>
      </c>
      <c r="G90" s="245">
        <v>124.3</v>
      </c>
      <c r="H90" s="245">
        <v>123.1</v>
      </c>
      <c r="I90" s="245">
        <v>121.7</v>
      </c>
      <c r="J90" s="245">
        <v>121.7</v>
      </c>
      <c r="K90" s="245">
        <v>123.8</v>
      </c>
      <c r="L90" s="245">
        <v>122.9</v>
      </c>
      <c r="M90" s="245">
        <v>122.9</v>
      </c>
      <c r="N90" s="245">
        <v>122.2</v>
      </c>
      <c r="O90" s="245">
        <v>121.3</v>
      </c>
      <c r="P90" s="245">
        <v>122</v>
      </c>
      <c r="Q90" s="245">
        <v>122.5</v>
      </c>
      <c r="R90" s="245">
        <v>121.7</v>
      </c>
      <c r="S90" s="245">
        <v>121</v>
      </c>
      <c r="T90" s="245">
        <v>119.6</v>
      </c>
      <c r="U90" s="245">
        <v>123</v>
      </c>
      <c r="V90" s="245">
        <v>123</v>
      </c>
      <c r="W90" s="245">
        <v>124</v>
      </c>
      <c r="X90" s="245">
        <v>123.6</v>
      </c>
      <c r="Y90" s="245">
        <v>123.6</v>
      </c>
      <c r="Z90" s="245">
        <v>123</v>
      </c>
      <c r="AA90" s="245">
        <v>124.9</v>
      </c>
      <c r="AB90" s="245">
        <v>124.5</v>
      </c>
      <c r="AC90" s="245">
        <v>124.5</v>
      </c>
      <c r="AD90" s="245">
        <v>123.7</v>
      </c>
      <c r="AE90" s="245">
        <v>124.3</v>
      </c>
      <c r="AF90" s="245">
        <v>123</v>
      </c>
      <c r="AG90" s="272"/>
      <c r="AH90" s="226">
        <f t="shared" si="13"/>
        <v>125.6</v>
      </c>
      <c r="AI90" s="227">
        <f t="shared" si="15"/>
        <v>119.6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/>
      <c r="C91" s="245">
        <v>128.6</v>
      </c>
      <c r="D91" s="245">
        <v>128.5</v>
      </c>
      <c r="E91" s="245">
        <v>129.6</v>
      </c>
      <c r="F91" s="245">
        <v>128.4</v>
      </c>
      <c r="G91" s="245">
        <v>128.4</v>
      </c>
      <c r="H91" s="245">
        <v>127.3</v>
      </c>
      <c r="I91" s="245">
        <v>126.2</v>
      </c>
      <c r="J91" s="245">
        <v>126.2</v>
      </c>
      <c r="K91" s="245">
        <v>127.5</v>
      </c>
      <c r="L91" s="245">
        <v>126.6</v>
      </c>
      <c r="M91" s="245">
        <v>126.6</v>
      </c>
      <c r="N91" s="245">
        <v>126.2</v>
      </c>
      <c r="O91" s="245">
        <v>125.3</v>
      </c>
      <c r="P91" s="245">
        <v>125.5</v>
      </c>
      <c r="Q91" s="245">
        <v>126</v>
      </c>
      <c r="R91" s="245">
        <v>125.5</v>
      </c>
      <c r="S91" s="245">
        <v>124.9</v>
      </c>
      <c r="T91" s="245">
        <v>123.8</v>
      </c>
      <c r="U91" s="245">
        <v>126.4</v>
      </c>
      <c r="V91" s="245">
        <v>126.4</v>
      </c>
      <c r="W91" s="245">
        <v>128</v>
      </c>
      <c r="X91" s="245">
        <v>127.4</v>
      </c>
      <c r="Y91" s="245">
        <v>127.4</v>
      </c>
      <c r="Z91" s="245">
        <v>126.3</v>
      </c>
      <c r="AA91" s="245">
        <v>128.30000000000001</v>
      </c>
      <c r="AB91" s="245">
        <v>128.80000000000001</v>
      </c>
      <c r="AC91" s="245">
        <v>128.5</v>
      </c>
      <c r="AD91" s="245">
        <v>128.30000000000001</v>
      </c>
      <c r="AE91" s="245">
        <v>128.9</v>
      </c>
      <c r="AF91" s="245">
        <v>128</v>
      </c>
      <c r="AG91" s="272"/>
      <c r="AH91" s="226">
        <f t="shared" si="13"/>
        <v>129.6</v>
      </c>
      <c r="AI91" s="227">
        <f t="shared" si="15"/>
        <v>123.8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/>
      <c r="C92" s="245">
        <v>130</v>
      </c>
      <c r="D92" s="245">
        <v>131</v>
      </c>
      <c r="E92" s="245">
        <v>130.6</v>
      </c>
      <c r="F92" s="245">
        <v>131</v>
      </c>
      <c r="G92" s="245">
        <v>131</v>
      </c>
      <c r="H92" s="245">
        <v>132.69999999999999</v>
      </c>
      <c r="I92" s="245">
        <v>129.69999999999999</v>
      </c>
      <c r="J92" s="245">
        <v>129.69999999999999</v>
      </c>
      <c r="K92" s="245">
        <v>129.6</v>
      </c>
      <c r="L92" s="245">
        <v>127.4</v>
      </c>
      <c r="M92" s="245">
        <v>127.4</v>
      </c>
      <c r="N92" s="245">
        <v>130.4</v>
      </c>
      <c r="O92" s="245">
        <v>129.1</v>
      </c>
      <c r="P92" s="245">
        <v>129.69999999999999</v>
      </c>
      <c r="Q92" s="245">
        <v>130.9</v>
      </c>
      <c r="R92" s="245">
        <v>126.9</v>
      </c>
      <c r="S92" s="245">
        <v>128.69999999999999</v>
      </c>
      <c r="T92" s="245">
        <v>129.80000000000001</v>
      </c>
      <c r="U92" s="245">
        <v>129.4</v>
      </c>
      <c r="V92" s="245">
        <v>129.4</v>
      </c>
      <c r="W92" s="245">
        <v>131</v>
      </c>
      <c r="X92" s="245">
        <v>130</v>
      </c>
      <c r="Y92" s="245">
        <v>130</v>
      </c>
      <c r="Z92" s="245">
        <v>127.8</v>
      </c>
      <c r="AA92" s="245">
        <v>127.9</v>
      </c>
      <c r="AB92" s="245">
        <v>128.19999999999999</v>
      </c>
      <c r="AC92" s="245">
        <v>126.7</v>
      </c>
      <c r="AD92" s="245">
        <v>126.8</v>
      </c>
      <c r="AE92" s="245">
        <v>128</v>
      </c>
      <c r="AF92" s="245">
        <v>127.2</v>
      </c>
      <c r="AG92" s="272"/>
      <c r="AH92" s="226">
        <f t="shared" si="13"/>
        <v>132.69999999999999</v>
      </c>
      <c r="AI92" s="227">
        <f t="shared" si="15"/>
        <v>126.7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>
        <v>133.9</v>
      </c>
      <c r="D93" s="245">
        <v>134.6</v>
      </c>
      <c r="E93" s="245">
        <v>135.1</v>
      </c>
      <c r="F93" s="245">
        <v>135.4</v>
      </c>
      <c r="G93" s="245">
        <v>135.4</v>
      </c>
      <c r="H93" s="245">
        <v>136.4</v>
      </c>
      <c r="I93" s="245">
        <v>133.30000000000001</v>
      </c>
      <c r="J93" s="245">
        <v>133.30000000000001</v>
      </c>
      <c r="K93" s="245">
        <v>134.5</v>
      </c>
      <c r="L93" s="245">
        <v>131.5</v>
      </c>
      <c r="M93" s="245">
        <v>131.5</v>
      </c>
      <c r="N93" s="245">
        <v>132.1</v>
      </c>
      <c r="O93" s="245">
        <v>130.4</v>
      </c>
      <c r="P93" s="245">
        <v>130.69999999999999</v>
      </c>
      <c r="Q93" s="245">
        <v>131.69999999999999</v>
      </c>
      <c r="R93" s="245">
        <v>129.19999999999999</v>
      </c>
      <c r="S93" s="245">
        <v>130</v>
      </c>
      <c r="T93" s="245">
        <v>131.69999999999999</v>
      </c>
      <c r="U93" s="245">
        <v>132.6</v>
      </c>
      <c r="V93" s="245">
        <v>132.6</v>
      </c>
      <c r="W93" s="245">
        <v>133</v>
      </c>
      <c r="X93" s="245">
        <v>132.5</v>
      </c>
      <c r="Y93" s="245">
        <v>132.5</v>
      </c>
      <c r="Z93" s="245">
        <v>130.30000000000001</v>
      </c>
      <c r="AA93" s="245">
        <v>131.1</v>
      </c>
      <c r="AB93" s="245">
        <v>131.6</v>
      </c>
      <c r="AC93" s="245">
        <v>130</v>
      </c>
      <c r="AD93" s="245">
        <v>130.30000000000001</v>
      </c>
      <c r="AE93" s="245">
        <v>132</v>
      </c>
      <c r="AF93" s="245">
        <v>132</v>
      </c>
      <c r="AG93" s="272"/>
      <c r="AH93" s="226">
        <f t="shared" si="13"/>
        <v>136.4</v>
      </c>
      <c r="AI93" s="227">
        <f t="shared" si="15"/>
        <v>129.19999999999999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/>
      <c r="C94" s="274">
        <v>131.1</v>
      </c>
      <c r="D94" s="274">
        <v>131.9</v>
      </c>
      <c r="E94" s="274">
        <v>136.30000000000001</v>
      </c>
      <c r="F94" s="274">
        <v>128.1</v>
      </c>
      <c r="G94" s="274">
        <v>128.1</v>
      </c>
      <c r="H94" s="274">
        <v>131.69999999999999</v>
      </c>
      <c r="I94" s="274">
        <v>131.69999999999999</v>
      </c>
      <c r="J94" s="274">
        <v>131.69999999999999</v>
      </c>
      <c r="K94" s="274">
        <v>135.30000000000001</v>
      </c>
      <c r="L94" s="274">
        <v>132.5</v>
      </c>
      <c r="M94" s="274">
        <v>132.5</v>
      </c>
      <c r="N94" s="274">
        <v>129.80000000000001</v>
      </c>
      <c r="O94" s="274">
        <v>129.30000000000001</v>
      </c>
      <c r="P94" s="274">
        <v>131.1</v>
      </c>
      <c r="Q94" s="274">
        <v>134.19999999999999</v>
      </c>
      <c r="R94" s="274">
        <v>129.6</v>
      </c>
      <c r="S94" s="274">
        <v>131.6</v>
      </c>
      <c r="T94" s="274">
        <v>131.69999999999999</v>
      </c>
      <c r="U94" s="274">
        <v>131.9</v>
      </c>
      <c r="V94" s="274">
        <v>131.9</v>
      </c>
      <c r="W94" s="274">
        <v>133</v>
      </c>
      <c r="X94" s="274">
        <v>133.69999999999999</v>
      </c>
      <c r="Y94" s="274">
        <v>133.69999999999999</v>
      </c>
      <c r="Z94" s="274">
        <v>130.69999999999999</v>
      </c>
      <c r="AA94" s="274">
        <v>134.19999999999999</v>
      </c>
      <c r="AB94" s="274">
        <v>133.30000000000001</v>
      </c>
      <c r="AC94" s="274">
        <v>132.30000000000001</v>
      </c>
      <c r="AD94" s="274">
        <v>129.19999999999999</v>
      </c>
      <c r="AE94" s="274">
        <v>131</v>
      </c>
      <c r="AF94" s="274">
        <v>131.1</v>
      </c>
      <c r="AG94" s="275"/>
      <c r="AH94" s="226">
        <f t="shared" si="13"/>
        <v>136.30000000000001</v>
      </c>
      <c r="AI94" s="227">
        <f t="shared" si="15"/>
        <v>128.1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/>
      <c r="C95" s="245">
        <v>125.1</v>
      </c>
      <c r="D95" s="245">
        <v>128</v>
      </c>
      <c r="E95" s="245">
        <v>135.5</v>
      </c>
      <c r="F95" s="245">
        <v>123.9</v>
      </c>
      <c r="G95" s="245">
        <v>123.9</v>
      </c>
      <c r="H95" s="245">
        <v>126.2</v>
      </c>
      <c r="I95" s="245">
        <v>129.30000000000001</v>
      </c>
      <c r="J95" s="245">
        <v>129.30000000000001</v>
      </c>
      <c r="K95" s="245">
        <v>133.6</v>
      </c>
      <c r="L95" s="245">
        <v>129.4</v>
      </c>
      <c r="M95" s="245">
        <v>129.4</v>
      </c>
      <c r="N95" s="245">
        <v>124.5</v>
      </c>
      <c r="O95" s="245">
        <v>130.5</v>
      </c>
      <c r="P95" s="245">
        <v>125.7</v>
      </c>
      <c r="Q95" s="245">
        <v>128.4</v>
      </c>
      <c r="R95" s="245">
        <v>126.5</v>
      </c>
      <c r="S95" s="245">
        <v>130.6</v>
      </c>
      <c r="T95" s="245">
        <v>127.8</v>
      </c>
      <c r="U95" s="245">
        <v>127.3</v>
      </c>
      <c r="V95" s="245">
        <v>127.3</v>
      </c>
      <c r="W95" s="245">
        <v>132</v>
      </c>
      <c r="X95" s="245">
        <v>133.19999999999999</v>
      </c>
      <c r="Y95" s="245">
        <v>133.19999999999999</v>
      </c>
      <c r="Z95" s="245">
        <v>130.5</v>
      </c>
      <c r="AA95" s="245">
        <v>129.19999999999999</v>
      </c>
      <c r="AB95" s="245">
        <v>130.4</v>
      </c>
      <c r="AC95" s="245">
        <v>127.3</v>
      </c>
      <c r="AD95" s="245">
        <v>123.4</v>
      </c>
      <c r="AE95" s="245">
        <v>126</v>
      </c>
      <c r="AF95" s="245">
        <v>126.5</v>
      </c>
      <c r="AG95" s="272"/>
      <c r="AH95" s="226">
        <f t="shared" si="13"/>
        <v>135.5</v>
      </c>
      <c r="AI95" s="227">
        <f t="shared" si="15"/>
        <v>123.4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/>
      <c r="C96" s="276">
        <v>65</v>
      </c>
      <c r="D96" s="276">
        <v>64.900000000000006</v>
      </c>
      <c r="E96" s="276">
        <v>65.5</v>
      </c>
      <c r="F96" s="276">
        <v>64.900000000000006</v>
      </c>
      <c r="G96" s="276">
        <v>65.2</v>
      </c>
      <c r="H96" s="276">
        <v>64.400000000000006</v>
      </c>
      <c r="I96" s="276">
        <v>63.7</v>
      </c>
      <c r="J96" s="276">
        <v>63.7</v>
      </c>
      <c r="K96" s="276">
        <v>64.5</v>
      </c>
      <c r="L96" s="276">
        <v>64.2</v>
      </c>
      <c r="M96" s="276">
        <v>64.2</v>
      </c>
      <c r="N96" s="276">
        <v>63.7</v>
      </c>
      <c r="O96" s="276">
        <v>63</v>
      </c>
      <c r="P96" s="276">
        <v>63.1</v>
      </c>
      <c r="Q96" s="276">
        <v>63.2</v>
      </c>
      <c r="R96" s="276">
        <v>63</v>
      </c>
      <c r="S96" s="276">
        <v>62</v>
      </c>
      <c r="T96" s="276">
        <v>61.8</v>
      </c>
      <c r="U96" s="276">
        <v>63.5</v>
      </c>
      <c r="V96" s="276">
        <v>63.5</v>
      </c>
      <c r="W96" s="276">
        <v>64.7</v>
      </c>
      <c r="X96" s="276">
        <v>64.099999999999994</v>
      </c>
      <c r="Y96" s="276">
        <v>64.099999999999994</v>
      </c>
      <c r="Z96" s="276">
        <v>63.5</v>
      </c>
      <c r="AA96" s="276">
        <v>64.599999999999994</v>
      </c>
      <c r="AB96" s="276">
        <v>65</v>
      </c>
      <c r="AC96" s="276">
        <v>65.099999999999994</v>
      </c>
      <c r="AD96" s="276">
        <v>64.5</v>
      </c>
      <c r="AE96" s="276">
        <v>65.099999999999994</v>
      </c>
      <c r="AF96" s="276">
        <v>65</v>
      </c>
      <c r="AG96" s="277"/>
      <c r="AH96" s="226">
        <f t="shared" si="13"/>
        <v>65.5</v>
      </c>
      <c r="AI96" s="227">
        <f t="shared" si="15"/>
        <v>61.8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0</v>
      </c>
      <c r="C98" s="280">
        <f t="shared" si="22"/>
        <v>61.539999999999985</v>
      </c>
      <c r="D98" s="280">
        <f t="shared" si="22"/>
        <v>48.139999999999986</v>
      </c>
      <c r="E98" s="280">
        <f t="shared" si="22"/>
        <v>31.239999999999991</v>
      </c>
      <c r="F98" s="280">
        <f t="shared" si="22"/>
        <v>28.34</v>
      </c>
      <c r="G98" s="280">
        <f t="shared" si="22"/>
        <v>66.839999999999989</v>
      </c>
      <c r="H98" s="280">
        <f t="shared" si="22"/>
        <v>50.739999999999981</v>
      </c>
      <c r="I98" s="280">
        <f t="shared" si="22"/>
        <v>102.24000000000001</v>
      </c>
      <c r="J98" s="280">
        <f t="shared" si="22"/>
        <v>132.64000000000001</v>
      </c>
      <c r="K98" s="280">
        <f t="shared" si="22"/>
        <v>162.54000000000002</v>
      </c>
      <c r="L98" s="280">
        <f t="shared" si="22"/>
        <v>186.94</v>
      </c>
      <c r="M98" s="280">
        <f t="shared" si="22"/>
        <v>145.54000000000002</v>
      </c>
      <c r="N98" s="280">
        <f t="shared" si="22"/>
        <v>195.83999999999997</v>
      </c>
      <c r="O98" s="280">
        <f t="shared" si="22"/>
        <v>208.44</v>
      </c>
      <c r="P98" s="280">
        <f t="shared" si="22"/>
        <v>205.23999999999998</v>
      </c>
      <c r="Q98" s="280">
        <f t="shared" si="22"/>
        <v>200.6</v>
      </c>
      <c r="R98" s="280">
        <f t="shared" si="22"/>
        <v>221.7</v>
      </c>
      <c r="S98" s="280">
        <f t="shared" si="22"/>
        <v>210.9</v>
      </c>
      <c r="T98" s="280">
        <f t="shared" si="22"/>
        <v>229.2</v>
      </c>
      <c r="U98" s="280">
        <f t="shared" si="22"/>
        <v>225.3</v>
      </c>
      <c r="V98" s="280">
        <f t="shared" si="22"/>
        <v>212.90000000000003</v>
      </c>
      <c r="W98" s="280">
        <f t="shared" si="22"/>
        <v>195.89999999999998</v>
      </c>
      <c r="X98" s="280">
        <f t="shared" si="22"/>
        <v>190.7</v>
      </c>
      <c r="Y98" s="280">
        <f t="shared" si="22"/>
        <v>190.7</v>
      </c>
      <c r="Z98" s="280">
        <f t="shared" si="22"/>
        <v>250.59999999999997</v>
      </c>
      <c r="AA98" s="280">
        <f t="shared" si="22"/>
        <v>210.29999999999998</v>
      </c>
      <c r="AB98" s="280">
        <f t="shared" si="22"/>
        <v>223.4</v>
      </c>
      <c r="AC98" s="280">
        <f t="shared" si="22"/>
        <v>202.90000000000003</v>
      </c>
      <c r="AD98" s="280">
        <f t="shared" si="22"/>
        <v>180.2</v>
      </c>
      <c r="AE98" s="280">
        <f t="shared" si="22"/>
        <v>119.5</v>
      </c>
      <c r="AF98" s="280">
        <f t="shared" si="22"/>
        <v>70.900000000000006</v>
      </c>
      <c r="AG98" s="281"/>
      <c r="AH98" s="226">
        <f>MAX(C98:AF98)</f>
        <v>250.59999999999997</v>
      </c>
      <c r="AI98" s="227">
        <f>MIN(C98:AF98)</f>
        <v>28.34</v>
      </c>
    </row>
    <row r="99" spans="1:37" x14ac:dyDescent="0.25">
      <c r="A99" s="268" t="s">
        <v>103</v>
      </c>
      <c r="B99" s="282"/>
      <c r="C99" s="282">
        <f>19.4+11</f>
        <v>30.4</v>
      </c>
      <c r="D99" s="282">
        <f>13.1+3.5</f>
        <v>16.600000000000001</v>
      </c>
      <c r="E99" s="282">
        <v>0.8</v>
      </c>
      <c r="F99" s="282">
        <v>2.1</v>
      </c>
      <c r="G99" s="282">
        <v>-3.7</v>
      </c>
      <c r="H99" s="282">
        <v>10.8</v>
      </c>
      <c r="I99" s="282">
        <v>24.8</v>
      </c>
      <c r="J99" s="282">
        <v>24.8</v>
      </c>
      <c r="K99" s="282">
        <v>29.8</v>
      </c>
      <c r="L99" s="282">
        <v>27.4</v>
      </c>
      <c r="M99" s="282">
        <v>39.700000000000003</v>
      </c>
      <c r="N99" s="282">
        <v>37.4</v>
      </c>
      <c r="O99" s="282">
        <v>27.9</v>
      </c>
      <c r="P99" s="282">
        <v>30.5</v>
      </c>
      <c r="Q99" s="282">
        <v>29.8</v>
      </c>
      <c r="R99" s="282">
        <v>29.4</v>
      </c>
      <c r="S99" s="282">
        <v>27.3</v>
      </c>
      <c r="T99" s="282">
        <v>26.2</v>
      </c>
      <c r="U99" s="282">
        <v>25.7</v>
      </c>
      <c r="V99" s="282">
        <v>34.200000000000003</v>
      </c>
      <c r="W99" s="282">
        <v>35.9</v>
      </c>
      <c r="X99" s="282">
        <v>37.700000000000003</v>
      </c>
      <c r="Y99" s="282">
        <v>37.700000000000003</v>
      </c>
      <c r="Z99" s="282">
        <v>29.6</v>
      </c>
      <c r="AA99" s="282">
        <v>28.1</v>
      </c>
      <c r="AB99" s="282">
        <v>18</v>
      </c>
      <c r="AC99" s="282">
        <v>20.8</v>
      </c>
      <c r="AD99" s="282">
        <v>19.2</v>
      </c>
      <c r="AE99" s="282">
        <v>21.6</v>
      </c>
      <c r="AF99" s="282">
        <v>20</v>
      </c>
      <c r="AG99" s="283">
        <v>75</v>
      </c>
      <c r="AH99" s="226">
        <f t="shared" ref="AH99:AH106" si="23">IF(ABS(MAX(C99:AF99))&gt;ABS(MIN(C99:AF99)),MAX(C99:AF99),MIN(C99:AF99))</f>
        <v>39.700000000000003</v>
      </c>
      <c r="AI99" s="284">
        <f t="shared" ref="AI99:AI106" si="24">INDEX($C$9:$AF$9,1,MATCH(AH99,C99:AF99,0))</f>
        <v>0.33333333333333331</v>
      </c>
    </row>
    <row r="100" spans="1:37" x14ac:dyDescent="0.25">
      <c r="A100" s="271" t="s">
        <v>104</v>
      </c>
      <c r="B100" s="285"/>
      <c r="C100" s="285">
        <f>-41.4-45</f>
        <v>-86.4</v>
      </c>
      <c r="D100" s="285">
        <f>-41.9-45.5</f>
        <v>-87.4</v>
      </c>
      <c r="E100" s="285">
        <v>-88</v>
      </c>
      <c r="F100" s="285">
        <v>-91</v>
      </c>
      <c r="G100" s="285">
        <v>-51</v>
      </c>
      <c r="H100" s="285">
        <v>-80</v>
      </c>
      <c r="I100" s="285">
        <v>-93</v>
      </c>
      <c r="J100" s="285">
        <v>-93</v>
      </c>
      <c r="K100" s="285">
        <v>-73</v>
      </c>
      <c r="L100" s="285">
        <v>-49</v>
      </c>
      <c r="M100" s="285">
        <v>-100</v>
      </c>
      <c r="N100" s="285">
        <v>-104.3</v>
      </c>
      <c r="O100" s="285">
        <v>-94.5</v>
      </c>
      <c r="P100" s="285">
        <v>-92.9</v>
      </c>
      <c r="Q100" s="285">
        <v>-95.1</v>
      </c>
      <c r="R100" s="285">
        <v>-90.1</v>
      </c>
      <c r="S100" s="285">
        <v>-94</v>
      </c>
      <c r="T100" s="285">
        <v>-85</v>
      </c>
      <c r="U100" s="285">
        <v>-82.3</v>
      </c>
      <c r="V100" s="285">
        <v>-91</v>
      </c>
      <c r="W100" s="285">
        <v>-95</v>
      </c>
      <c r="X100" s="285">
        <v>-95</v>
      </c>
      <c r="Y100" s="285">
        <v>-95</v>
      </c>
      <c r="Z100" s="285">
        <v>-68</v>
      </c>
      <c r="AA100" s="285">
        <v>-103</v>
      </c>
      <c r="AB100" s="285">
        <f>-37.9-44.4</f>
        <v>-82.3</v>
      </c>
      <c r="AC100" s="285">
        <f>-38.6-50.4</f>
        <v>-89</v>
      </c>
      <c r="AD100" s="285">
        <f>-43.1-52</f>
        <v>-95.1</v>
      </c>
      <c r="AE100" s="285">
        <f>-54-63</f>
        <v>-117</v>
      </c>
      <c r="AF100" s="285">
        <f>-66-72</f>
        <v>-138</v>
      </c>
      <c r="AG100" s="283">
        <v>240</v>
      </c>
      <c r="AH100" s="226">
        <f t="shared" si="23"/>
        <v>-138</v>
      </c>
      <c r="AI100" s="284">
        <f t="shared" si="24"/>
        <v>0.95833333333333304</v>
      </c>
    </row>
    <row r="101" spans="1:37" x14ac:dyDescent="0.25">
      <c r="A101" s="271" t="s">
        <v>105</v>
      </c>
      <c r="B101" s="285"/>
      <c r="C101" s="285">
        <v>4.9000000000000004</v>
      </c>
      <c r="D101" s="285">
        <v>3</v>
      </c>
      <c r="E101" s="285">
        <v>2.4</v>
      </c>
      <c r="F101" s="285">
        <v>1.4</v>
      </c>
      <c r="G101" s="285">
        <v>5</v>
      </c>
      <c r="H101" s="285">
        <v>3.8</v>
      </c>
      <c r="I101" s="285">
        <v>4</v>
      </c>
      <c r="J101" s="285">
        <v>4</v>
      </c>
      <c r="K101" s="285">
        <v>8.9</v>
      </c>
      <c r="L101" s="285">
        <v>11.5</v>
      </c>
      <c r="M101" s="285">
        <v>4.8</v>
      </c>
      <c r="N101" s="285">
        <v>13.4</v>
      </c>
      <c r="O101" s="285">
        <v>34.4</v>
      </c>
      <c r="P101" s="285">
        <v>21.3</v>
      </c>
      <c r="Q101" s="285">
        <v>24.7</v>
      </c>
      <c r="R101" s="285">
        <v>16.7</v>
      </c>
      <c r="S101" s="285">
        <v>12</v>
      </c>
      <c r="T101" s="285">
        <v>12</v>
      </c>
      <c r="U101" s="285">
        <v>10.3</v>
      </c>
      <c r="V101" s="285">
        <v>9.4</v>
      </c>
      <c r="W101" s="285">
        <v>8.6999999999999993</v>
      </c>
      <c r="X101" s="285">
        <v>8.6999999999999993</v>
      </c>
      <c r="Y101" s="285">
        <v>8.6999999999999993</v>
      </c>
      <c r="Z101" s="285">
        <v>13.1</v>
      </c>
      <c r="AA101" s="285">
        <v>34.299999999999997</v>
      </c>
      <c r="AB101" s="285">
        <v>22.9</v>
      </c>
      <c r="AC101" s="285">
        <v>20</v>
      </c>
      <c r="AD101" s="285">
        <v>7.8</v>
      </c>
      <c r="AE101" s="285">
        <v>19.5</v>
      </c>
      <c r="AF101" s="285">
        <v>-6.5</v>
      </c>
      <c r="AG101" s="283">
        <v>60</v>
      </c>
      <c r="AH101" s="226">
        <f t="shared" si="23"/>
        <v>34.4</v>
      </c>
      <c r="AI101" s="284">
        <f t="shared" si="24"/>
        <v>0.41666666666666702</v>
      </c>
    </row>
    <row r="102" spans="1:37" x14ac:dyDescent="0.25">
      <c r="A102" s="286" t="s">
        <v>106</v>
      </c>
      <c r="B102" s="287"/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48.1</v>
      </c>
      <c r="O102" s="287">
        <v>39.200000000000003</v>
      </c>
      <c r="P102" s="287">
        <v>44</v>
      </c>
      <c r="Q102" s="287">
        <v>39.6</v>
      </c>
      <c r="R102" s="287">
        <v>64.099999999999994</v>
      </c>
      <c r="S102" s="287">
        <v>59</v>
      </c>
      <c r="T102" s="287">
        <v>69.400000000000006</v>
      </c>
      <c r="U102" s="287">
        <v>65</v>
      </c>
      <c r="V102" s="287">
        <v>53.7</v>
      </c>
      <c r="W102" s="287">
        <v>47.7</v>
      </c>
      <c r="X102" s="287">
        <v>42.7</v>
      </c>
      <c r="Y102" s="287">
        <v>42.7</v>
      </c>
      <c r="Z102" s="287">
        <v>79.3</v>
      </c>
      <c r="AA102" s="287">
        <v>55.1</v>
      </c>
      <c r="AB102" s="287">
        <v>69</v>
      </c>
      <c r="AC102" s="287">
        <v>55.3</v>
      </c>
      <c r="AD102" s="287">
        <v>52.5</v>
      </c>
      <c r="AE102" s="287">
        <v>0</v>
      </c>
      <c r="AF102" s="287">
        <v>0</v>
      </c>
      <c r="AG102" s="288">
        <v>120</v>
      </c>
      <c r="AH102" s="226">
        <f t="shared" si="23"/>
        <v>79.3</v>
      </c>
      <c r="AI102" s="284">
        <f t="shared" si="24"/>
        <v>0.79166666666666663</v>
      </c>
    </row>
    <row r="103" spans="1:37" x14ac:dyDescent="0.25">
      <c r="A103" s="286" t="s">
        <v>107</v>
      </c>
      <c r="B103" s="287"/>
      <c r="C103" s="287">
        <v>61</v>
      </c>
      <c r="D103" s="287">
        <v>73.5</v>
      </c>
      <c r="E103" s="287">
        <v>68.400000000000006</v>
      </c>
      <c r="F103" s="287">
        <v>67.7</v>
      </c>
      <c r="G103" s="287">
        <v>82</v>
      </c>
      <c r="H103" s="287">
        <v>78.900000000000006</v>
      </c>
      <c r="I103" s="287">
        <v>51</v>
      </c>
      <c r="J103" s="287">
        <v>51</v>
      </c>
      <c r="K103" s="287">
        <v>53.4</v>
      </c>
      <c r="L103" s="287">
        <v>83.3</v>
      </c>
      <c r="M103" s="287">
        <v>44.7</v>
      </c>
      <c r="N103" s="287">
        <v>47.5</v>
      </c>
      <c r="O103" s="287">
        <v>43.4</v>
      </c>
      <c r="P103" s="287">
        <v>44.9</v>
      </c>
      <c r="Q103" s="287">
        <v>45</v>
      </c>
      <c r="R103" s="287">
        <v>57</v>
      </c>
      <c r="S103" s="287">
        <v>64</v>
      </c>
      <c r="T103" s="287">
        <v>68.5</v>
      </c>
      <c r="U103" s="287">
        <v>61.9</v>
      </c>
      <c r="V103" s="287">
        <v>52.2</v>
      </c>
      <c r="W103" s="287">
        <v>47.4</v>
      </c>
      <c r="X103" s="287">
        <v>41.4</v>
      </c>
      <c r="Y103" s="287">
        <v>41.4</v>
      </c>
      <c r="Z103" s="287">
        <v>63.3</v>
      </c>
      <c r="AA103" s="287">
        <v>48.7</v>
      </c>
      <c r="AB103" s="287">
        <v>66.3</v>
      </c>
      <c r="AC103" s="287">
        <v>57.3</v>
      </c>
      <c r="AD103" s="287">
        <v>56</v>
      </c>
      <c r="AE103" s="287">
        <v>40</v>
      </c>
      <c r="AF103" s="287">
        <v>37</v>
      </c>
      <c r="AG103" s="288"/>
      <c r="AH103" s="226">
        <f t="shared" si="23"/>
        <v>83.3</v>
      </c>
      <c r="AI103" s="284">
        <f t="shared" si="24"/>
        <v>0.3125</v>
      </c>
    </row>
    <row r="104" spans="1:37" x14ac:dyDescent="0.25">
      <c r="A104" s="286" t="s">
        <v>108</v>
      </c>
      <c r="B104" s="287"/>
      <c r="C104" s="287">
        <v>53.3</v>
      </c>
      <c r="D104" s="287">
        <v>66.900000000000006</v>
      </c>
      <c r="E104" s="287">
        <v>76.900000000000006</v>
      </c>
      <c r="F104" s="287">
        <v>62.7</v>
      </c>
      <c r="G104" s="287">
        <v>75.3</v>
      </c>
      <c r="H104" s="287">
        <v>66.3</v>
      </c>
      <c r="I104" s="287">
        <v>40.9</v>
      </c>
      <c r="J104" s="287">
        <v>40.9</v>
      </c>
      <c r="K104" s="287">
        <v>15.8</v>
      </c>
      <c r="L104" s="287">
        <v>32.299999999999997</v>
      </c>
      <c r="M104" s="287">
        <v>-12.8</v>
      </c>
      <c r="N104" s="287">
        <v>16.5</v>
      </c>
      <c r="O104" s="287">
        <v>11.6</v>
      </c>
      <c r="P104" s="287">
        <v>2.1</v>
      </c>
      <c r="Q104" s="287">
        <v>0</v>
      </c>
      <c r="R104" s="287">
        <v>4.4000000000000004</v>
      </c>
      <c r="S104" s="287">
        <v>7.2</v>
      </c>
      <c r="T104" s="287">
        <v>19</v>
      </c>
      <c r="U104" s="287">
        <v>21.4</v>
      </c>
      <c r="V104" s="287">
        <v>8.1999999999999993</v>
      </c>
      <c r="W104" s="287">
        <v>-2.4</v>
      </c>
      <c r="X104" s="287">
        <v>-9.4</v>
      </c>
      <c r="Y104" s="287">
        <v>-9.4</v>
      </c>
      <c r="Z104" s="287">
        <v>23.5</v>
      </c>
      <c r="AA104" s="287">
        <v>20</v>
      </c>
      <c r="AB104" s="287">
        <v>57.8</v>
      </c>
      <c r="AC104" s="287">
        <v>49.3</v>
      </c>
      <c r="AD104" s="287">
        <v>48.1</v>
      </c>
      <c r="AE104" s="287">
        <v>45</v>
      </c>
      <c r="AF104" s="287">
        <v>38</v>
      </c>
      <c r="AG104" s="289"/>
      <c r="AH104" s="226">
        <f t="shared" si="23"/>
        <v>76.900000000000006</v>
      </c>
      <c r="AI104" s="284">
        <f t="shared" si="24"/>
        <v>0.125</v>
      </c>
    </row>
    <row r="105" spans="1:37" x14ac:dyDescent="0.25">
      <c r="A105" s="290" t="s">
        <v>109</v>
      </c>
      <c r="B105" s="274"/>
      <c r="C105" s="274">
        <v>95.8</v>
      </c>
      <c r="D105" s="274">
        <v>92.7</v>
      </c>
      <c r="E105" s="274">
        <v>98</v>
      </c>
      <c r="F105" s="274">
        <v>98.9</v>
      </c>
      <c r="G105" s="274">
        <v>100</v>
      </c>
      <c r="H105" s="274">
        <v>97.6</v>
      </c>
      <c r="I105" s="274">
        <v>99.4</v>
      </c>
      <c r="J105" s="274">
        <v>99.4</v>
      </c>
      <c r="K105" s="274">
        <v>90.3</v>
      </c>
      <c r="L105" s="274">
        <v>84</v>
      </c>
      <c r="M105" s="274">
        <v>79.8</v>
      </c>
      <c r="N105" s="274">
        <v>74.099999999999994</v>
      </c>
      <c r="O105" s="274">
        <v>73.7</v>
      </c>
      <c r="P105" s="274">
        <v>77.900000000000006</v>
      </c>
      <c r="Q105" s="274">
        <v>77</v>
      </c>
      <c r="R105" s="274">
        <v>76.5</v>
      </c>
      <c r="S105" s="274">
        <v>73</v>
      </c>
      <c r="T105" s="274">
        <v>77.5</v>
      </c>
      <c r="U105" s="274">
        <v>88.3</v>
      </c>
      <c r="V105" s="274">
        <v>82</v>
      </c>
      <c r="W105" s="274">
        <v>78</v>
      </c>
      <c r="X105" s="274">
        <v>73.3</v>
      </c>
      <c r="Y105" s="274">
        <v>73.3</v>
      </c>
      <c r="Z105" s="274">
        <v>67.8</v>
      </c>
      <c r="AA105" s="274">
        <v>70.7</v>
      </c>
      <c r="AB105" s="274">
        <v>71.099999999999994</v>
      </c>
      <c r="AC105" s="274">
        <v>73.2</v>
      </c>
      <c r="AD105" s="274">
        <v>74.400000000000006</v>
      </c>
      <c r="AE105" s="274">
        <v>80</v>
      </c>
      <c r="AF105" s="274">
        <v>85</v>
      </c>
      <c r="AG105" s="289"/>
      <c r="AH105" s="226">
        <f t="shared" si="23"/>
        <v>100</v>
      </c>
      <c r="AI105" s="284">
        <f t="shared" si="24"/>
        <v>0.20833333333333301</v>
      </c>
    </row>
    <row r="106" spans="1:37" ht="15.75" thickBot="1" x14ac:dyDescent="0.3">
      <c r="A106" s="290" t="s">
        <v>110</v>
      </c>
      <c r="B106" s="274"/>
      <c r="C106" s="274">
        <v>94</v>
      </c>
      <c r="D106" s="274">
        <v>97.2</v>
      </c>
      <c r="E106" s="274">
        <v>86</v>
      </c>
      <c r="F106" s="274">
        <v>93</v>
      </c>
      <c r="G106" s="274">
        <v>40.1</v>
      </c>
      <c r="H106" s="274">
        <v>68.2</v>
      </c>
      <c r="I106" s="274">
        <v>61.9</v>
      </c>
      <c r="J106" s="274">
        <v>61.9</v>
      </c>
      <c r="K106" s="274">
        <v>49.1</v>
      </c>
      <c r="L106" s="274">
        <v>28.8</v>
      </c>
      <c r="M106" s="274">
        <v>65.5</v>
      </c>
      <c r="N106" s="274">
        <v>63.8</v>
      </c>
      <c r="O106" s="274">
        <v>75.400000000000006</v>
      </c>
      <c r="P106" s="274">
        <v>64.3</v>
      </c>
      <c r="Q106" s="274">
        <v>72.3</v>
      </c>
      <c r="R106" s="274">
        <v>60.4</v>
      </c>
      <c r="S106" s="274">
        <v>58.9</v>
      </c>
      <c r="T106" s="274">
        <v>50.4</v>
      </c>
      <c r="U106" s="274">
        <v>46.2</v>
      </c>
      <c r="V106" s="274">
        <v>54.6</v>
      </c>
      <c r="W106" s="274">
        <v>62.2</v>
      </c>
      <c r="X106" s="274">
        <v>62.7</v>
      </c>
      <c r="Y106" s="274">
        <v>62.7</v>
      </c>
      <c r="Z106" s="274">
        <v>40.9</v>
      </c>
      <c r="AA106" s="274">
        <v>63.9</v>
      </c>
      <c r="AB106" s="274">
        <v>55.6</v>
      </c>
      <c r="AC106" s="274">
        <v>64.8</v>
      </c>
      <c r="AD106" s="274">
        <v>67.400000000000006</v>
      </c>
      <c r="AE106" s="274">
        <v>89</v>
      </c>
      <c r="AF106" s="274">
        <v>91</v>
      </c>
      <c r="AG106" s="289"/>
      <c r="AH106" s="226">
        <f t="shared" si="23"/>
        <v>97.2</v>
      </c>
      <c r="AI106" s="284">
        <f t="shared" si="24"/>
        <v>8.3333333333333301E-2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1884.6399999999999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8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2079/02/8)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2079/02/8)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3.54</v>
      </c>
      <c r="U235" s="343">
        <f t="shared" si="31"/>
        <v>1664.04</v>
      </c>
      <c r="V235" s="343">
        <f t="shared" si="31"/>
        <v>1663.94</v>
      </c>
      <c r="W235" s="343">
        <f t="shared" si="31"/>
        <v>1656.9399999999998</v>
      </c>
      <c r="X235" s="343">
        <f t="shared" si="31"/>
        <v>1641.3399999999997</v>
      </c>
      <c r="Y235" s="343">
        <f t="shared" si="31"/>
        <v>1640.1399999999999</v>
      </c>
      <c r="Z235" s="343">
        <f t="shared" si="31"/>
        <v>1665.24</v>
      </c>
      <c r="AA235" s="343">
        <f t="shared" si="31"/>
        <v>1730.7399999999998</v>
      </c>
      <c r="AB235" s="343">
        <f t="shared" si="31"/>
        <v>1768.1399999999999</v>
      </c>
      <c r="AC235" s="343">
        <f t="shared" si="31"/>
        <v>1794.0399999999997</v>
      </c>
      <c r="AD235" s="343">
        <f t="shared" si="31"/>
        <v>1787.4399999999996</v>
      </c>
      <c r="AE235" s="343">
        <f t="shared" si="31"/>
        <v>1832.54</v>
      </c>
      <c r="AF235" s="343">
        <f t="shared" si="31"/>
        <v>1884.6399999999999</v>
      </c>
      <c r="AG235" s="343">
        <f t="shared" si="31"/>
        <v>1916.34</v>
      </c>
      <c r="AH235" s="343">
        <f t="shared" si="31"/>
        <v>1905.74</v>
      </c>
      <c r="AI235" s="343">
        <f t="shared" si="31"/>
        <v>1921.14</v>
      </c>
      <c r="AJ235" s="343">
        <f t="shared" si="31"/>
        <v>1903.9399999999998</v>
      </c>
      <c r="AK235" s="343">
        <f t="shared" si="31"/>
        <v>1889.7399999999998</v>
      </c>
      <c r="AL235" s="343">
        <f t="shared" si="31"/>
        <v>1871.4399999999998</v>
      </c>
      <c r="AM235" s="343">
        <f t="shared" si="31"/>
        <v>1862.84</v>
      </c>
      <c r="AN235" s="343">
        <f t="shared" si="31"/>
        <v>1864.04</v>
      </c>
      <c r="AO235" s="343">
        <f t="shared" si="31"/>
        <v>1855.84</v>
      </c>
      <c r="AP235" s="343">
        <f t="shared" si="31"/>
        <v>1850.34</v>
      </c>
      <c r="AQ235" s="343">
        <f t="shared" si="31"/>
        <v>1847.7399999999998</v>
      </c>
      <c r="AR235" s="343">
        <f t="shared" si="31"/>
        <v>1869.2399999999998</v>
      </c>
      <c r="AS235" s="343">
        <f t="shared" si="31"/>
        <v>1967.2399999999998</v>
      </c>
      <c r="AT235" s="343">
        <f t="shared" si="31"/>
        <v>1888.6399999999999</v>
      </c>
      <c r="AU235" s="343">
        <f t="shared" si="31"/>
        <v>1896.6399999999999</v>
      </c>
      <c r="AV235" s="343">
        <f t="shared" si="31"/>
        <v>1866.04</v>
      </c>
      <c r="AW235" s="343">
        <f t="shared" si="31"/>
        <v>1864.8399999999997</v>
      </c>
      <c r="AX235" s="343">
        <f t="shared" si="31"/>
        <v>1836.8399999999997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D99:AF105 AA11:AF11">
    <cfRule type="expression" dxfId="6555" priority="331">
      <formula>B$9&gt;=20/24</formula>
    </cfRule>
    <cfRule type="expression" dxfId="6554" priority="332">
      <formula>AND(B$9&gt;=14/24,B$9&lt;20/24)</formula>
    </cfRule>
    <cfRule type="expression" dxfId="6553" priority="333">
      <formula>AND(B$9&gt;=8/24,B$9&lt;14/24)</formula>
    </cfRule>
    <cfRule type="expression" dxfId="6552" priority="334">
      <formula>B$9&lt;8/24</formula>
    </cfRule>
  </conditionalFormatting>
  <conditionalFormatting sqref="AL4:AL6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6551" priority="326">
      <formula>S$9&gt;=20/24</formula>
    </cfRule>
    <cfRule type="expression" dxfId="6550" priority="327">
      <formula>AND(S$9&gt;=14/24,S$9&lt;20/24)</formula>
    </cfRule>
    <cfRule type="expression" dxfId="6549" priority="328">
      <formula>AND(S$9&gt;=8/24,S$9&lt;14/24)</formula>
    </cfRule>
    <cfRule type="expression" dxfId="6548" priority="329">
      <formula>S$9&lt;8/24</formula>
    </cfRule>
  </conditionalFormatting>
  <conditionalFormatting sqref="AG55 B12:B16 B35 S37:AF37 AA35:AF35 O11:AF16">
    <cfRule type="expression" dxfId="6547" priority="325">
      <formula>B11&gt;$AG11</formula>
    </cfRule>
  </conditionalFormatting>
  <conditionalFormatting sqref="A89:A102 A11:A14 A49:A76 A85:A87 A191:A221 A16:A30 A36:A47 A107:A178 A32:A33 A81:A83 A78:A79">
    <cfRule type="expression" dxfId="6546" priority="324">
      <formula>$AH11=0</formula>
    </cfRule>
  </conditionalFormatting>
  <conditionalFormatting sqref="A103">
    <cfRule type="expression" dxfId="6545" priority="323">
      <formula>$AH103=0</formula>
    </cfRule>
  </conditionalFormatting>
  <conditionalFormatting sqref="AL3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544" priority="321">
      <formula>$AH35=0</formula>
    </cfRule>
  </conditionalFormatting>
  <conditionalFormatting sqref="A88">
    <cfRule type="expression" dxfId="6543" priority="320">
      <formula>$AH88=0</formula>
    </cfRule>
  </conditionalFormatting>
  <conditionalFormatting sqref="A15">
    <cfRule type="expression" dxfId="6542" priority="319">
      <formula>$AH15=0</formula>
    </cfRule>
  </conditionalFormatting>
  <conditionalFormatting sqref="A185:A190">
    <cfRule type="expression" dxfId="6541" priority="318">
      <formula>$AH185=0</formula>
    </cfRule>
  </conditionalFormatting>
  <conditionalFormatting sqref="A179:A184">
    <cfRule type="expression" dxfId="6540" priority="317">
      <formula>$AH179=0</formula>
    </cfRule>
  </conditionalFormatting>
  <conditionalFormatting sqref="A48">
    <cfRule type="expression" dxfId="6539" priority="316">
      <formula>$AH48=0</formula>
    </cfRule>
  </conditionalFormatting>
  <conditionalFormatting sqref="A84">
    <cfRule type="expression" dxfId="6538" priority="315">
      <formula>$AH84=0</formula>
    </cfRule>
  </conditionalFormatting>
  <conditionalFormatting sqref="D89:AF89">
    <cfRule type="expression" dxfId="6537" priority="311">
      <formula>D$9&gt;=20/24</formula>
    </cfRule>
    <cfRule type="expression" dxfId="6536" priority="312">
      <formula>AND(D$9&gt;=14/24,D$9&lt;20/24)</formula>
    </cfRule>
    <cfRule type="expression" dxfId="6535" priority="313">
      <formula>AND(D$9&gt;=8/24,D$9&lt;14/24)</formula>
    </cfRule>
    <cfRule type="expression" dxfId="6534" priority="314">
      <formula>D$9&lt;8/24</formula>
    </cfRule>
  </conditionalFormatting>
  <conditionalFormatting sqref="AL34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33" priority="337">
      <formula>C$9&gt;=20/24</formula>
    </cfRule>
    <cfRule type="expression" dxfId="6532" priority="338">
      <formula>AND(C$9&gt;=14/24,C$9&lt;20/24)</formula>
    </cfRule>
    <cfRule type="expression" dxfId="6531" priority="339">
      <formula>AND(C$9&gt;=8/24,C$9&lt;14/24)</formula>
    </cfRule>
    <cfRule type="expression" dxfId="6530" priority="340">
      <formula>C$9&lt;8/24</formula>
    </cfRule>
  </conditionalFormatting>
  <conditionalFormatting sqref="A222">
    <cfRule type="expression" dxfId="6529" priority="341">
      <formula>$AH222=0</formula>
    </cfRule>
  </conditionalFormatting>
  <conditionalFormatting sqref="AG234">
    <cfRule type="expression" dxfId="6528" priority="342">
      <formula>B$9&gt;=20/24</formula>
    </cfRule>
    <cfRule type="expression" dxfId="6527" priority="343">
      <formula>AND(B$9&gt;=14/24,B$9&lt;20/24)</formula>
    </cfRule>
    <cfRule type="expression" dxfId="6526" priority="344">
      <formula>AND(B$9&gt;=8/24,B$9&lt;14/24)</formula>
    </cfRule>
    <cfRule type="expression" dxfId="6525" priority="345">
      <formula>B$9&lt;8/24</formula>
    </cfRule>
  </conditionalFormatting>
  <conditionalFormatting sqref="S8">
    <cfRule type="expression" dxfId="6524" priority="306">
      <formula>U$9&gt;=20/24</formula>
    </cfRule>
    <cfRule type="expression" dxfId="6523" priority="307">
      <formula>AND(U$9&gt;=14/24,U$9&lt;20/24)</formula>
    </cfRule>
    <cfRule type="expression" dxfId="6522" priority="308">
      <formula>AND(U$9&gt;=8/24,U$9&lt;14/24)</formula>
    </cfRule>
    <cfRule type="expression" dxfId="6521" priority="309">
      <formula>U$9&lt;8/24</formula>
    </cfRule>
  </conditionalFormatting>
  <conditionalFormatting sqref="AB8">
    <cfRule type="expression" dxfId="6520" priority="302">
      <formula>AD$9&gt;=20/24</formula>
    </cfRule>
    <cfRule type="expression" dxfId="6519" priority="303">
      <formula>AND(AD$9&gt;=14/24,AD$9&lt;20/24)</formula>
    </cfRule>
    <cfRule type="expression" dxfId="6518" priority="304">
      <formula>AND(AD$9&gt;=8/24,AD$9&lt;14/24)</formula>
    </cfRule>
    <cfRule type="expression" dxfId="6517" priority="305">
      <formula>AD$9&lt;8/24</formula>
    </cfRule>
  </conditionalFormatting>
  <conditionalFormatting sqref="AH234:AX234">
    <cfRule type="expression" dxfId="6516" priority="346">
      <formula>AG$9&gt;=20/24</formula>
    </cfRule>
    <cfRule type="expression" dxfId="6515" priority="347">
      <formula>AND(AG$9&gt;=14/24,AG$9&lt;20/24)</formula>
    </cfRule>
    <cfRule type="expression" dxfId="6514" priority="348">
      <formula>AND(AG$9&gt;=8/24,AG$9&lt;14/24)</formula>
    </cfRule>
    <cfRule type="expression" dxfId="6513" priority="349">
      <formula>AG$9&lt;8/24</formula>
    </cfRule>
  </conditionalFormatting>
  <conditionalFormatting sqref="T234">
    <cfRule type="expression" dxfId="6512" priority="350">
      <formula>AX$9&gt;=20/24</formula>
    </cfRule>
    <cfRule type="expression" dxfId="6511" priority="351">
      <formula>AND(AX$9&gt;=14/24,AX$9&lt;20/24)</formula>
    </cfRule>
    <cfRule type="expression" dxfId="6510" priority="352">
      <formula>AND(AX$9&gt;=8/24,AX$9&lt;14/24)</formula>
    </cfRule>
    <cfRule type="expression" dxfId="6509" priority="353">
      <formula>AX$9&lt;8/24</formula>
    </cfRule>
  </conditionalFormatting>
  <conditionalFormatting sqref="A104:A105">
    <cfRule type="expression" dxfId="6508" priority="301">
      <formula>$AH104=0</formula>
    </cfRule>
  </conditionalFormatting>
  <conditionalFormatting sqref="F44:M45 AA36:AF36 S44:AF45 D61:AF61">
    <cfRule type="expression" dxfId="6507" priority="297">
      <formula>D$9&gt;=20/24</formula>
    </cfRule>
    <cfRule type="expression" dxfId="6506" priority="298">
      <formula>AND(D$9&gt;=14/24,D$9&lt;20/24)</formula>
    </cfRule>
    <cfRule type="expression" dxfId="6505" priority="299">
      <formula>AND(D$9&gt;=8/24,D$9&lt;14/24)</formula>
    </cfRule>
    <cfRule type="expression" dxfId="6504" priority="300">
      <formula>D$9&lt;8/24</formula>
    </cfRule>
  </conditionalFormatting>
  <conditionalFormatting sqref="F43:M43 S43:AF43">
    <cfRule type="expression" dxfId="6503" priority="293">
      <formula>F$9&gt;=20/24</formula>
    </cfRule>
    <cfRule type="expression" dxfId="6502" priority="294">
      <formula>AND(F$9&gt;=14/24,F$9&lt;20/24)</formula>
    </cfRule>
    <cfRule type="expression" dxfId="6501" priority="295">
      <formula>AND(F$9&gt;=8/24,F$9&lt;14/24)</formula>
    </cfRule>
    <cfRule type="expression" dxfId="6500" priority="296">
      <formula>F$9&lt;8/24</formula>
    </cfRule>
  </conditionalFormatting>
  <conditionalFormatting sqref="F43:M45 AA36:AF36 S43:AF45">
    <cfRule type="expression" dxfId="6499" priority="292">
      <formula>F36&gt;$AG36</formula>
    </cfRule>
  </conditionalFormatting>
  <conditionalFormatting sqref="O11:R11 D86:AF86 M37:R37 D62:M67 R18:S20 P18:Q18 S21:S22 D71:R71 N64:R67 S36:Z36 N62:Z63 S64:Z71 D90:AF96 D57:AF59 O12:AF14 O16:AF16 S24:AF26 T18:AF22 S28:AF32 AA62:AF71 D73:AF76">
    <cfRule type="expression" dxfId="6498" priority="288">
      <formula>D$9&gt;=20/24</formula>
    </cfRule>
    <cfRule type="expression" dxfId="6497" priority="289">
      <formula>AND(D$9&gt;=14/24,D$9&lt;20/24)</formula>
    </cfRule>
    <cfRule type="expression" dxfId="6496" priority="290">
      <formula>AND(D$9&gt;=8/24,D$9&lt;14/24)</formula>
    </cfRule>
    <cfRule type="expression" dxfId="6495" priority="291">
      <formula>D$9&lt;8/24</formula>
    </cfRule>
  </conditionalFormatting>
  <conditionalFormatting sqref="S33:AF33">
    <cfRule type="expression" dxfId="6494" priority="284">
      <formula>S$9&gt;=20/24</formula>
    </cfRule>
    <cfRule type="expression" dxfId="6493" priority="285">
      <formula>AND(S$9&gt;=14/24,S$9&lt;20/24)</formula>
    </cfRule>
    <cfRule type="expression" dxfId="6492" priority="286">
      <formula>AND(S$9&gt;=8/24,S$9&lt;14/24)</formula>
    </cfRule>
    <cfRule type="expression" dxfId="6491" priority="287">
      <formula>S$9&lt;8/24</formula>
    </cfRule>
  </conditionalFormatting>
  <conditionalFormatting sqref="O11:R11 D55:AF55 E37:R37 F46:M48 N48:O48 R18:S20 P18:Q18 S21:S22 S36:Z36 D57:AF59 T18:AF22 S24:AF33 AB46:AF46">
    <cfRule type="expression" dxfId="6490" priority="283">
      <formula>D11&gt;$AG11</formula>
    </cfRule>
  </conditionalFormatting>
  <conditionalFormatting sqref="AA35:AF35">
    <cfRule type="expression" dxfId="6489" priority="279">
      <formula>AA$9&gt;=20/24</formula>
    </cfRule>
    <cfRule type="expression" dxfId="6488" priority="280">
      <formula>AND(AA$9&gt;=14/24,AA$9&lt;20/24)</formula>
    </cfRule>
    <cfRule type="expression" dxfId="6487" priority="281">
      <formula>AND(AA$9&gt;=8/24,AA$9&lt;14/24)</formula>
    </cfRule>
    <cfRule type="expression" dxfId="6486" priority="282">
      <formula>AA$9&lt;8/24</formula>
    </cfRule>
  </conditionalFormatting>
  <conditionalFormatting sqref="O15:AF15">
    <cfRule type="expression" dxfId="6485" priority="275">
      <formula>O$9&gt;=20/24</formula>
    </cfRule>
    <cfRule type="expression" dxfId="6484" priority="276">
      <formula>AND(O$9&gt;=14/24,O$9&lt;20/24)</formula>
    </cfRule>
    <cfRule type="expression" dxfId="6483" priority="277">
      <formula>AND(O$9&gt;=8/24,O$9&lt;14/24)</formula>
    </cfRule>
    <cfRule type="expression" dxfId="6482" priority="278">
      <formula>O$9&lt;8/24</formula>
    </cfRule>
  </conditionalFormatting>
  <conditionalFormatting sqref="S34:AF34">
    <cfRule type="expression" dxfId="6481" priority="271">
      <formula>S$9&gt;=20/24</formula>
    </cfRule>
    <cfRule type="expression" dxfId="6480" priority="272">
      <formula>AND(S$9&gt;=14/24,S$9&lt;20/24)</formula>
    </cfRule>
    <cfRule type="expression" dxfId="6479" priority="273">
      <formula>AND(S$9&gt;=8/24,S$9&lt;14/24)</formula>
    </cfRule>
    <cfRule type="expression" dxfId="6478" priority="274">
      <formula>S$9&lt;8/24</formula>
    </cfRule>
  </conditionalFormatting>
  <conditionalFormatting sqref="S34:AF34">
    <cfRule type="expression" dxfId="6477" priority="270">
      <formula>S34&gt;$AG34</formula>
    </cfRule>
  </conditionalFormatting>
  <conditionalFormatting sqref="S11:Z11">
    <cfRule type="expression" dxfId="6476" priority="266">
      <formula>S$9&gt;=20/24</formula>
    </cfRule>
    <cfRule type="expression" dxfId="6475" priority="267">
      <formula>AND(S$9&gt;=14/24,S$9&lt;20/24)</formula>
    </cfRule>
    <cfRule type="expression" dxfId="6474" priority="268">
      <formula>AND(S$9&gt;=8/24,S$9&lt;14/24)</formula>
    </cfRule>
    <cfRule type="expression" dxfId="6473" priority="269">
      <formula>S$9&lt;8/24</formula>
    </cfRule>
  </conditionalFormatting>
  <conditionalFormatting sqref="AA46:AA47 AB47:AF47">
    <cfRule type="expression" dxfId="6472" priority="262">
      <formula>AA$9&gt;=20/24</formula>
    </cfRule>
    <cfRule type="expression" dxfId="6471" priority="263">
      <formula>AND(AA$9&gt;=14/24,AA$9&lt;20/24)</formula>
    </cfRule>
    <cfRule type="expression" dxfId="6470" priority="264">
      <formula>AND(AA$9&gt;=8/24,AA$9&lt;14/24)</formula>
    </cfRule>
    <cfRule type="expression" dxfId="6469" priority="265">
      <formula>AA$9&lt;8/24</formula>
    </cfRule>
  </conditionalFormatting>
  <conditionalFormatting sqref="AA46:AA47 AB47:AF47">
    <cfRule type="expression" dxfId="6468" priority="261">
      <formula>AA46&gt;$AG46</formula>
    </cfRule>
  </conditionalFormatting>
  <conditionalFormatting sqref="N43:R47 R48:R54 P48:Q49 S46:Z54 AA48:AF54">
    <cfRule type="expression" dxfId="6467" priority="257">
      <formula>N$9&gt;=20/24</formula>
    </cfRule>
    <cfRule type="expression" dxfId="6466" priority="258">
      <formula>AND(N$9&gt;=14/24,N$9&lt;20/24)</formula>
    </cfRule>
    <cfRule type="expression" dxfId="6465" priority="259">
      <formula>AND(N$9&gt;=8/24,N$9&lt;14/24)</formula>
    </cfRule>
    <cfRule type="expression" dxfId="6464" priority="260">
      <formula>N$9&lt;8/24</formula>
    </cfRule>
  </conditionalFormatting>
  <conditionalFormatting sqref="N43:R47 R48:R54 P48:Q49 S46:Z54 AA48:AF54">
    <cfRule type="expression" dxfId="6463" priority="256">
      <formula>N43&gt;$AG43</formula>
    </cfRule>
  </conditionalFormatting>
  <conditionalFormatting sqref="S27:AF27">
    <cfRule type="expression" dxfId="6462" priority="252">
      <formula>S$9&gt;=20/24</formula>
    </cfRule>
    <cfRule type="expression" dxfId="6461" priority="253">
      <formula>AND(S$9&gt;=14/24,S$9&lt;20/24)</formula>
    </cfRule>
    <cfRule type="expression" dxfId="6460" priority="254">
      <formula>AND(S$9&gt;=8/24,S$9&lt;14/24)</formula>
    </cfRule>
    <cfRule type="expression" dxfId="6459" priority="255">
      <formula>S$9&lt;8/24</formula>
    </cfRule>
  </conditionalFormatting>
  <conditionalFormatting sqref="O17:AF17 S23:AF23">
    <cfRule type="expression" dxfId="6458" priority="248">
      <formula>O$9&gt;=20/24</formula>
    </cfRule>
    <cfRule type="expression" dxfId="6457" priority="249">
      <formula>AND(O$9&gt;=14/24,O$9&lt;20/24)</formula>
    </cfRule>
    <cfRule type="expression" dxfId="6456" priority="250">
      <formula>AND(O$9&gt;=8/24,O$9&lt;14/24)</formula>
    </cfRule>
    <cfRule type="expression" dxfId="6455" priority="251">
      <formula>O$9&lt;8/24</formula>
    </cfRule>
  </conditionalFormatting>
  <conditionalFormatting sqref="O17:AF17 S23:AF23">
    <cfRule type="expression" dxfId="6454" priority="243">
      <formula>O17&gt;$AG17</formula>
    </cfRule>
  </conditionalFormatting>
  <conditionalFormatting sqref="D44:E45">
    <cfRule type="expression" dxfId="6453" priority="226">
      <formula>D$9&gt;=20/24</formula>
    </cfRule>
    <cfRule type="expression" dxfId="6452" priority="227">
      <formula>AND(D$9&gt;=14/24,D$9&lt;20/24)</formula>
    </cfRule>
    <cfRule type="expression" dxfId="6451" priority="228">
      <formula>AND(D$9&gt;=8/24,D$9&lt;14/24)</formula>
    </cfRule>
    <cfRule type="expression" dxfId="6450" priority="229">
      <formula>D$9&lt;8/24</formula>
    </cfRule>
  </conditionalFormatting>
  <conditionalFormatting sqref="D43:E43">
    <cfRule type="expression" dxfId="6449" priority="222">
      <formula>D$9&gt;=20/24</formula>
    </cfRule>
    <cfRule type="expression" dxfId="6448" priority="223">
      <formula>AND(D$9&gt;=14/24,D$9&lt;20/24)</formula>
    </cfRule>
    <cfRule type="expression" dxfId="6447" priority="224">
      <formula>AND(D$9&gt;=8/24,D$9&lt;14/24)</formula>
    </cfRule>
    <cfRule type="expression" dxfId="6446" priority="225">
      <formula>D$9&lt;8/24</formula>
    </cfRule>
  </conditionalFormatting>
  <conditionalFormatting sqref="D43:E45">
    <cfRule type="expression" dxfId="6445" priority="221">
      <formula>D43&gt;$AG43</formula>
    </cfRule>
  </conditionalFormatting>
  <conditionalFormatting sqref="D68:R70">
    <cfRule type="expression" dxfId="6444" priority="217">
      <formula>D$9&gt;=20/24</formula>
    </cfRule>
    <cfRule type="expression" dxfId="6443" priority="218">
      <formula>AND(D$9&gt;=14/24,D$9&lt;20/24)</formula>
    </cfRule>
    <cfRule type="expression" dxfId="6442" priority="219">
      <formula>AND(D$9&gt;=8/24,D$9&lt;14/24)</formula>
    </cfRule>
    <cfRule type="expression" dxfId="6441" priority="220">
      <formula>D$9&lt;8/24</formula>
    </cfRule>
  </conditionalFormatting>
  <conditionalFormatting sqref="D46:E47">
    <cfRule type="expression" dxfId="6440" priority="216">
      <formula>D46&gt;$AG46</formula>
    </cfRule>
  </conditionalFormatting>
  <conditionalFormatting sqref="D48:E54 F49:O54 P50:Q54">
    <cfRule type="expression" dxfId="6439" priority="212">
      <formula>D$9&gt;=20/24</formula>
    </cfRule>
    <cfRule type="expression" dxfId="6438" priority="213">
      <formula>AND(D$9&gt;=14/24,D$9&lt;20/24)</formula>
    </cfRule>
    <cfRule type="expression" dxfId="6437" priority="214">
      <formula>AND(D$9&gt;=8/24,D$9&lt;14/24)</formula>
    </cfRule>
    <cfRule type="expression" dxfId="6436" priority="215">
      <formula>D$9&lt;8/24</formula>
    </cfRule>
  </conditionalFormatting>
  <conditionalFormatting sqref="D48:E54 F49:O54 P50:Q54">
    <cfRule type="expression" dxfId="6435" priority="211">
      <formula>D48&gt;$AG48</formula>
    </cfRule>
  </conditionalFormatting>
  <conditionalFormatting sqref="B99:B105 B11 B78 B87 D87:AF87 D78:AF78">
    <cfRule type="expression" dxfId="6434" priority="198">
      <formula>B$9&gt;=20/24</formula>
    </cfRule>
    <cfRule type="expression" dxfId="6433" priority="199">
      <formula>AND(B$9&gt;=14/24,B$9&lt;20/24)</formula>
    </cfRule>
    <cfRule type="expression" dxfId="6432" priority="200">
      <formula>AND(B$9&gt;=8/24,B$9&lt;14/24)</formula>
    </cfRule>
    <cfRule type="expression" dxfId="6431" priority="201">
      <formula>B$9&lt;8/24</formula>
    </cfRule>
  </conditionalFormatting>
  <conditionalFormatting sqref="B37">
    <cfRule type="expression" dxfId="6430" priority="194">
      <formula>B$9&gt;=20/24</formula>
    </cfRule>
    <cfRule type="expression" dxfId="6429" priority="195">
      <formula>AND(B$9&gt;=14/24,B$9&lt;20/24)</formula>
    </cfRule>
    <cfRule type="expression" dxfId="6428" priority="196">
      <formula>AND(B$9&gt;=8/24,B$9&lt;14/24)</formula>
    </cfRule>
    <cfRule type="expression" dxfId="6427" priority="197">
      <formula>B$9&lt;8/24</formula>
    </cfRule>
  </conditionalFormatting>
  <conditionalFormatting sqref="B37 B11">
    <cfRule type="expression" dxfId="6426" priority="193">
      <formula>B11&gt;$AG11</formula>
    </cfRule>
  </conditionalFormatting>
  <conditionalFormatting sqref="B89">
    <cfRule type="expression" dxfId="6425" priority="189">
      <formula>B$9&gt;=20/24</formula>
    </cfRule>
    <cfRule type="expression" dxfId="6424" priority="190">
      <formula>AND(B$9&gt;=14/24,B$9&lt;20/24)</formula>
    </cfRule>
    <cfRule type="expression" dxfId="6423" priority="191">
      <formula>AND(B$9&gt;=8/24,B$9&lt;14/24)</formula>
    </cfRule>
    <cfRule type="expression" dxfId="6422" priority="192">
      <formula>B$9&lt;8/24</formula>
    </cfRule>
  </conditionalFormatting>
  <conditionalFormatting sqref="B44:B45 B36 B61">
    <cfRule type="expression" dxfId="6421" priority="185">
      <formula>B$9&gt;=20/24</formula>
    </cfRule>
    <cfRule type="expression" dxfId="6420" priority="186">
      <formula>AND(B$9&gt;=14/24,B$9&lt;20/24)</formula>
    </cfRule>
    <cfRule type="expression" dxfId="6419" priority="187">
      <formula>AND(B$9&gt;=8/24,B$9&lt;14/24)</formula>
    </cfRule>
    <cfRule type="expression" dxfId="6418" priority="188">
      <formula>B$9&lt;8/24</formula>
    </cfRule>
  </conditionalFormatting>
  <conditionalFormatting sqref="B43">
    <cfRule type="expression" dxfId="6417" priority="181">
      <formula>B$9&gt;=20/24</formula>
    </cfRule>
    <cfRule type="expression" dxfId="6416" priority="182">
      <formula>AND(B$9&gt;=14/24,B$9&lt;20/24)</formula>
    </cfRule>
    <cfRule type="expression" dxfId="6415" priority="183">
      <formula>AND(B$9&gt;=8/24,B$9&lt;14/24)</formula>
    </cfRule>
    <cfRule type="expression" dxfId="6414" priority="184">
      <formula>B$9&lt;8/24</formula>
    </cfRule>
  </conditionalFormatting>
  <conditionalFormatting sqref="B43:B45 B36">
    <cfRule type="expression" dxfId="6413" priority="180">
      <formula>B36&gt;$AG36</formula>
    </cfRule>
  </conditionalFormatting>
  <conditionalFormatting sqref="B90:B96 B12:B14 B16 B28:B30 B18:B22 B24:B26 B57:B60 B62:B71 B73:B77 B79 B86 D60:AG60 D77:AG77 B88 B32 D88:AF88 D79:AF79">
    <cfRule type="expression" dxfId="6412" priority="176">
      <formula>B$9&gt;=20/24</formula>
    </cfRule>
    <cfRule type="expression" dxfId="6411" priority="177">
      <formula>AND(B$9&gt;=14/24,B$9&lt;20/24)</formula>
    </cfRule>
    <cfRule type="expression" dxfId="6410" priority="178">
      <formula>AND(B$9&gt;=8/24,B$9&lt;14/24)</formula>
    </cfRule>
    <cfRule type="expression" dxfId="6409" priority="179">
      <formula>B$9&lt;8/24</formula>
    </cfRule>
  </conditionalFormatting>
  <conditionalFormatting sqref="B33">
    <cfRule type="expression" dxfId="6408" priority="172">
      <formula>B$9&gt;=20/24</formula>
    </cfRule>
    <cfRule type="expression" dxfId="6407" priority="173">
      <formula>AND(B$9&gt;=14/24,B$9&lt;20/24)</formula>
    </cfRule>
    <cfRule type="expression" dxfId="6406" priority="174">
      <formula>AND(B$9&gt;=8/24,B$9&lt;14/24)</formula>
    </cfRule>
    <cfRule type="expression" dxfId="6405" priority="175">
      <formula>B$9&lt;8/24</formula>
    </cfRule>
  </conditionalFormatting>
  <conditionalFormatting sqref="B46:B47 B18:B22 B24:B30 B55:B60 B38 D56:AG56 D60:AG60 B32:B33 D38:AG38">
    <cfRule type="expression" dxfId="6404" priority="171">
      <formula>B18&gt;$AG18</formula>
    </cfRule>
  </conditionalFormatting>
  <conditionalFormatting sqref="B35">
    <cfRule type="expression" dxfId="6403" priority="167">
      <formula>B$9&gt;=20/24</formula>
    </cfRule>
    <cfRule type="expression" dxfId="6402" priority="168">
      <formula>AND(B$9&gt;=14/24,B$9&lt;20/24)</formula>
    </cfRule>
    <cfRule type="expression" dxfId="6401" priority="169">
      <formula>AND(B$9&gt;=8/24,B$9&lt;14/24)</formula>
    </cfRule>
    <cfRule type="expression" dxfId="6400" priority="170">
      <formula>B$9&lt;8/24</formula>
    </cfRule>
  </conditionalFormatting>
  <conditionalFormatting sqref="B15">
    <cfRule type="expression" dxfId="6399" priority="163">
      <formula>B$9&gt;=20/24</formula>
    </cfRule>
    <cfRule type="expression" dxfId="6398" priority="164">
      <formula>AND(B$9&gt;=14/24,B$9&lt;20/24)</formula>
    </cfRule>
    <cfRule type="expression" dxfId="6397" priority="165">
      <formula>AND(B$9&gt;=8/24,B$9&lt;14/24)</formula>
    </cfRule>
    <cfRule type="expression" dxfId="6396" priority="166">
      <formula>B$9&lt;8/24</formula>
    </cfRule>
  </conditionalFormatting>
  <conditionalFormatting sqref="B34">
    <cfRule type="expression" dxfId="6395" priority="159">
      <formula>B$9&gt;=20/24</formula>
    </cfRule>
    <cfRule type="expression" dxfId="6394" priority="160">
      <formula>AND(B$9&gt;=14/24,B$9&lt;20/24)</formula>
    </cfRule>
    <cfRule type="expression" dxfId="6393" priority="161">
      <formula>AND(B$9&gt;=8/24,B$9&lt;14/24)</formula>
    </cfRule>
    <cfRule type="expression" dxfId="6392" priority="162">
      <formula>B$9&lt;8/24</formula>
    </cfRule>
  </conditionalFormatting>
  <conditionalFormatting sqref="B34">
    <cfRule type="expression" dxfId="6391" priority="158">
      <formula>B34&gt;$AG34</formula>
    </cfRule>
  </conditionalFormatting>
  <conditionalFormatting sqref="B48:B54">
    <cfRule type="expression" dxfId="6390" priority="154">
      <formula>B$9&gt;=20/24</formula>
    </cfRule>
    <cfRule type="expression" dxfId="6389" priority="155">
      <formula>AND(B$9&gt;=14/24,B$9&lt;20/24)</formula>
    </cfRule>
    <cfRule type="expression" dxfId="6388" priority="156">
      <formula>AND(B$9&gt;=8/24,B$9&lt;14/24)</formula>
    </cfRule>
    <cfRule type="expression" dxfId="6387" priority="157">
      <formula>B$9&lt;8/24</formula>
    </cfRule>
  </conditionalFormatting>
  <conditionalFormatting sqref="B48:B54">
    <cfRule type="expression" dxfId="6386" priority="153">
      <formula>B48&gt;$AG48</formula>
    </cfRule>
  </conditionalFormatting>
  <conditionalFormatting sqref="B27">
    <cfRule type="expression" dxfId="6385" priority="149">
      <formula>B$9&gt;=20/24</formula>
    </cfRule>
    <cfRule type="expression" dxfId="6384" priority="150">
      <formula>AND(B$9&gt;=14/24,B$9&lt;20/24)</formula>
    </cfRule>
    <cfRule type="expression" dxfId="6383" priority="151">
      <formula>AND(B$9&gt;=8/24,B$9&lt;14/24)</formula>
    </cfRule>
    <cfRule type="expression" dxfId="6382" priority="152">
      <formula>B$9&lt;8/24</formula>
    </cfRule>
  </conditionalFormatting>
  <conditionalFormatting sqref="B17 B23">
    <cfRule type="expression" dxfId="6381" priority="145">
      <formula>B$9&gt;=20/24</formula>
    </cfRule>
    <cfRule type="expression" dxfId="6380" priority="146">
      <formula>AND(B$9&gt;=14/24,B$9&lt;20/24)</formula>
    </cfRule>
    <cfRule type="expression" dxfId="6379" priority="147">
      <formula>AND(B$9&gt;=8/24,B$9&lt;14/24)</formula>
    </cfRule>
    <cfRule type="expression" dxfId="6378" priority="148">
      <formula>B$9&lt;8/24</formula>
    </cfRule>
  </conditionalFormatting>
  <conditionalFormatting sqref="B17 B23">
    <cfRule type="expression" dxfId="6377" priority="144">
      <formula>B17&gt;$AG17</formula>
    </cfRule>
  </conditionalFormatting>
  <conditionalFormatting sqref="A34">
    <cfRule type="expression" dxfId="6376" priority="143">
      <formula>$AH34=0</formula>
    </cfRule>
  </conditionalFormatting>
  <conditionalFormatting sqref="B72 D72:AF72">
    <cfRule type="expression" dxfId="6375" priority="139">
      <formula>B$9&gt;=20/24</formula>
    </cfRule>
    <cfRule type="expression" dxfId="6374" priority="140">
      <formula>AND(B$9&gt;=14/24,B$9&lt;20/24)</formula>
    </cfRule>
    <cfRule type="expression" dxfId="6373" priority="141">
      <formula>AND(B$9&gt;=8/24,B$9&lt;14/24)</formula>
    </cfRule>
    <cfRule type="expression" dxfId="6372" priority="142">
      <formula>B$9&lt;8/24</formula>
    </cfRule>
  </conditionalFormatting>
  <conditionalFormatting sqref="B81:B85 D81:AF85">
    <cfRule type="expression" dxfId="6371" priority="135">
      <formula>B$9&gt;=20/24</formula>
    </cfRule>
    <cfRule type="expression" dxfId="6370" priority="136">
      <formula>AND(B$9&gt;=14/24,B$9&lt;20/24)</formula>
    </cfRule>
    <cfRule type="expression" dxfId="6369" priority="137">
      <formula>AND(B$9&gt;=8/24,B$9&lt;14/24)</formula>
    </cfRule>
    <cfRule type="expression" dxfId="6368" priority="138">
      <formula>B$9&lt;8/24</formula>
    </cfRule>
  </conditionalFormatting>
  <conditionalFormatting sqref="AL35 AL7:AL30 AL32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D39:AF41">
    <cfRule type="expression" dxfId="6367" priority="131">
      <formula>D$9&gt;=20/24</formula>
    </cfRule>
    <cfRule type="expression" dxfId="6366" priority="132">
      <formula>AND(D$9&gt;=14/24,D$9&lt;20/24)</formula>
    </cfRule>
    <cfRule type="expression" dxfId="6365" priority="133">
      <formula>AND(D$9&gt;=8/24,D$9&lt;14/24)</formula>
    </cfRule>
    <cfRule type="expression" dxfId="6364" priority="134">
      <formula>D$9&lt;8/24</formula>
    </cfRule>
  </conditionalFormatting>
  <conditionalFormatting sqref="D39:AF41">
    <cfRule type="expression" dxfId="6363" priority="130">
      <formula>D39&gt;$AG39</formula>
    </cfRule>
  </conditionalFormatting>
  <conditionalFormatting sqref="B39:B42 D42:AG42">
    <cfRule type="expression" dxfId="6362" priority="126">
      <formula>B$9&gt;=20/24</formula>
    </cfRule>
    <cfRule type="expression" dxfId="6361" priority="127">
      <formula>AND(B$9&gt;=14/24,B$9&lt;20/24)</formula>
    </cfRule>
    <cfRule type="expression" dxfId="6360" priority="128">
      <formula>AND(B$9&gt;=8/24,B$9&lt;14/24)</formula>
    </cfRule>
    <cfRule type="expression" dxfId="6359" priority="129">
      <formula>B$9&lt;8/24</formula>
    </cfRule>
  </conditionalFormatting>
  <conditionalFormatting sqref="B39:B42 D42:AG42">
    <cfRule type="expression" dxfId="6358" priority="125">
      <formula>B39&gt;$AG39</formula>
    </cfRule>
  </conditionalFormatting>
  <conditionalFormatting sqref="D97:AF97">
    <cfRule type="expression" dxfId="6357" priority="121">
      <formula>D$9&gt;=20/24</formula>
    </cfRule>
    <cfRule type="expression" dxfId="6356" priority="122">
      <formula>AND(D$9&gt;=14/24,D$9&lt;20/24)</formula>
    </cfRule>
    <cfRule type="expression" dxfId="6355" priority="123">
      <formula>AND(D$9&gt;=8/24,D$9&lt;14/24)</formula>
    </cfRule>
    <cfRule type="expression" dxfId="6354" priority="124">
      <formula>D$9&lt;8/24</formula>
    </cfRule>
  </conditionalFormatting>
  <conditionalFormatting sqref="B97">
    <cfRule type="expression" dxfId="6353" priority="117">
      <formula>B$9&gt;=20/24</formula>
    </cfRule>
    <cfRule type="expression" dxfId="6352" priority="118">
      <formula>AND(B$9&gt;=14/24,B$9&lt;20/24)</formula>
    </cfRule>
    <cfRule type="expression" dxfId="6351" priority="119">
      <formula>AND(B$9&gt;=8/24,B$9&lt;14/24)</formula>
    </cfRule>
    <cfRule type="expression" dxfId="6350" priority="120">
      <formula>B$9&lt;8/24</formula>
    </cfRule>
  </conditionalFormatting>
  <conditionalFormatting sqref="AL31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6349" priority="110">
      <formula>$AH31=0</formula>
    </cfRule>
  </conditionalFormatting>
  <conditionalFormatting sqref="A80">
    <cfRule type="expression" dxfId="6348" priority="108">
      <formula>$AH80=0</formula>
    </cfRule>
  </conditionalFormatting>
  <conditionalFormatting sqref="A77">
    <cfRule type="expression" dxfId="6347" priority="109">
      <formula>$AH77=0</formula>
    </cfRule>
  </conditionalFormatting>
  <conditionalFormatting sqref="A106">
    <cfRule type="expression" dxfId="6346" priority="99">
      <formula>$AH106=0</formula>
    </cfRule>
  </conditionalFormatting>
  <conditionalFormatting sqref="C99:C105 C11:N11">
    <cfRule type="expression" dxfId="6345" priority="95">
      <formula>C$9&gt;=20/24</formula>
    </cfRule>
    <cfRule type="expression" dxfId="6344" priority="96">
      <formula>AND(C$9&gt;=14/24,C$9&lt;20/24)</formula>
    </cfRule>
    <cfRule type="expression" dxfId="6343" priority="97">
      <formula>AND(C$9&gt;=8/24,C$9&lt;14/24)</formula>
    </cfRule>
    <cfRule type="expression" dxfId="6342" priority="98">
      <formula>C$9&lt;8/24</formula>
    </cfRule>
  </conditionalFormatting>
  <conditionalFormatting sqref="C37:D37">
    <cfRule type="expression" dxfId="6341" priority="91">
      <formula>C$9&gt;=20/24</formula>
    </cfRule>
    <cfRule type="expression" dxfId="6340" priority="92">
      <formula>AND(C$9&gt;=14/24,C$9&lt;20/24)</formula>
    </cfRule>
    <cfRule type="expression" dxfId="6339" priority="93">
      <formula>AND(C$9&gt;=8/24,C$9&lt;14/24)</formula>
    </cfRule>
    <cfRule type="expression" dxfId="6338" priority="94">
      <formula>C$9&lt;8/24</formula>
    </cfRule>
  </conditionalFormatting>
  <conditionalFormatting sqref="C37:D37 C11:N16 C35:Z35">
    <cfRule type="expression" dxfId="6337" priority="90">
      <formula>C11&gt;$AG11</formula>
    </cfRule>
  </conditionalFormatting>
  <conditionalFormatting sqref="C89">
    <cfRule type="expression" dxfId="6336" priority="86">
      <formula>C$9&gt;=20/24</formula>
    </cfRule>
    <cfRule type="expression" dxfId="6335" priority="87">
      <formula>AND(C$9&gt;=14/24,C$9&lt;20/24)</formula>
    </cfRule>
    <cfRule type="expression" dxfId="6334" priority="88">
      <formula>AND(C$9&gt;=8/24,C$9&lt;14/24)</formula>
    </cfRule>
    <cfRule type="expression" dxfId="6333" priority="89">
      <formula>C$9&lt;8/24</formula>
    </cfRule>
  </conditionalFormatting>
  <conditionalFormatting sqref="C61 C44:C45 C36:R36">
    <cfRule type="expression" dxfId="6332" priority="82">
      <formula>C$9&gt;=20/24</formula>
    </cfRule>
    <cfRule type="expression" dxfId="6331" priority="83">
      <formula>AND(C$9&gt;=14/24,C$9&lt;20/24)</formula>
    </cfRule>
    <cfRule type="expression" dxfId="6330" priority="84">
      <formula>AND(C$9&gt;=8/24,C$9&lt;14/24)</formula>
    </cfRule>
    <cfRule type="expression" dxfId="6329" priority="85">
      <formula>C$9&lt;8/24</formula>
    </cfRule>
  </conditionalFormatting>
  <conditionalFormatting sqref="C43">
    <cfRule type="expression" dxfId="6328" priority="78">
      <formula>C$9&gt;=20/24</formula>
    </cfRule>
    <cfRule type="expression" dxfId="6327" priority="79">
      <formula>AND(C$9&gt;=14/24,C$9&lt;20/24)</formula>
    </cfRule>
    <cfRule type="expression" dxfId="6326" priority="80">
      <formula>AND(C$9&gt;=8/24,C$9&lt;14/24)</formula>
    </cfRule>
    <cfRule type="expression" dxfId="6325" priority="81">
      <formula>C$9&lt;8/24</formula>
    </cfRule>
  </conditionalFormatting>
  <conditionalFormatting sqref="C43:C45 C36:R36">
    <cfRule type="expression" dxfId="6324" priority="77">
      <formula>C36&gt;$AG36</formula>
    </cfRule>
  </conditionalFormatting>
  <conditionalFormatting sqref="C86 C62:C71 C57:C59 C73:C76 C90:C96 C16:N16 C12:N14 C18:O22 P19:Q22 R21:R22 C32:R32 C24:R26 C28:R30">
    <cfRule type="expression" dxfId="6323" priority="73">
      <formula>C$9&gt;=20/24</formula>
    </cfRule>
    <cfRule type="expression" dxfId="6322" priority="74">
      <formula>AND(C$9&gt;=14/24,C$9&lt;20/24)</formula>
    </cfRule>
    <cfRule type="expression" dxfId="6321" priority="75">
      <formula>AND(C$9&gt;=8/24,C$9&lt;14/24)</formula>
    </cfRule>
    <cfRule type="expression" dxfId="6320" priority="76">
      <formula>C$9&lt;8/24</formula>
    </cfRule>
  </conditionalFormatting>
  <conditionalFormatting sqref="C33:R33">
    <cfRule type="expression" dxfId="6319" priority="69">
      <formula>C$9&gt;=20/24</formula>
    </cfRule>
    <cfRule type="expression" dxfId="6318" priority="70">
      <formula>AND(C$9&gt;=14/24,C$9&lt;20/24)</formula>
    </cfRule>
    <cfRule type="expression" dxfId="6317" priority="71">
      <formula>AND(C$9&gt;=8/24,C$9&lt;14/24)</formula>
    </cfRule>
    <cfRule type="expression" dxfId="6316" priority="72">
      <formula>C$9&lt;8/24</formula>
    </cfRule>
  </conditionalFormatting>
  <conditionalFormatting sqref="C46:C47 C55 C57:C59 C18:O22 P19:Q22 R21:R22 C32:R33 C24:R30">
    <cfRule type="expression" dxfId="6315" priority="68">
      <formula>C18&gt;$AG18</formula>
    </cfRule>
  </conditionalFormatting>
  <conditionalFormatting sqref="C35:Z35">
    <cfRule type="expression" dxfId="6314" priority="64">
      <formula>C$9&gt;=20/24</formula>
    </cfRule>
    <cfRule type="expression" dxfId="6313" priority="65">
      <formula>AND(C$9&gt;=14/24,C$9&lt;20/24)</formula>
    </cfRule>
    <cfRule type="expression" dxfId="6312" priority="66">
      <formula>AND(C$9&gt;=8/24,C$9&lt;14/24)</formula>
    </cfRule>
    <cfRule type="expression" dxfId="6311" priority="67">
      <formula>C$9&lt;8/24</formula>
    </cfRule>
  </conditionalFormatting>
  <conditionalFormatting sqref="C15:N15">
    <cfRule type="expression" dxfId="6310" priority="60">
      <formula>C$9&gt;=20/24</formula>
    </cfRule>
    <cfRule type="expression" dxfId="6309" priority="61">
      <formula>AND(C$9&gt;=14/24,C$9&lt;20/24)</formula>
    </cfRule>
    <cfRule type="expression" dxfId="6308" priority="62">
      <formula>AND(C$9&gt;=8/24,C$9&lt;14/24)</formula>
    </cfRule>
    <cfRule type="expression" dxfId="6307" priority="63">
      <formula>C$9&lt;8/24</formula>
    </cfRule>
  </conditionalFormatting>
  <conditionalFormatting sqref="C34:R34">
    <cfRule type="expression" dxfId="6306" priority="56">
      <formula>C$9&gt;=20/24</formula>
    </cfRule>
    <cfRule type="expression" dxfId="6305" priority="57">
      <formula>AND(C$9&gt;=14/24,C$9&lt;20/24)</formula>
    </cfRule>
    <cfRule type="expression" dxfId="6304" priority="58">
      <formula>AND(C$9&gt;=8/24,C$9&lt;14/24)</formula>
    </cfRule>
    <cfRule type="expression" dxfId="6303" priority="59">
      <formula>C$9&lt;8/24</formula>
    </cfRule>
  </conditionalFormatting>
  <conditionalFormatting sqref="C34:R34">
    <cfRule type="expression" dxfId="6302" priority="55">
      <formula>C34&gt;$AG34</formula>
    </cfRule>
  </conditionalFormatting>
  <conditionalFormatting sqref="C48:C54">
    <cfRule type="expression" dxfId="6301" priority="51">
      <formula>C$9&gt;=20/24</formula>
    </cfRule>
    <cfRule type="expression" dxfId="6300" priority="52">
      <formula>AND(C$9&gt;=14/24,C$9&lt;20/24)</formula>
    </cfRule>
    <cfRule type="expression" dxfId="6299" priority="53">
      <formula>AND(C$9&gt;=8/24,C$9&lt;14/24)</formula>
    </cfRule>
    <cfRule type="expression" dxfId="6298" priority="54">
      <formula>C$9&lt;8/24</formula>
    </cfRule>
  </conditionalFormatting>
  <conditionalFormatting sqref="C48:C54">
    <cfRule type="expression" dxfId="6297" priority="50">
      <formula>C48&gt;$AG48</formula>
    </cfRule>
  </conditionalFormatting>
  <conditionalFormatting sqref="C27:R27">
    <cfRule type="expression" dxfId="6296" priority="46">
      <formula>C$9&gt;=20/24</formula>
    </cfRule>
    <cfRule type="expression" dxfId="6295" priority="47">
      <formula>AND(C$9&gt;=14/24,C$9&lt;20/24)</formula>
    </cfRule>
    <cfRule type="expression" dxfId="6294" priority="48">
      <formula>AND(C$9&gt;=8/24,C$9&lt;14/24)</formula>
    </cfRule>
    <cfRule type="expression" dxfId="6293" priority="49">
      <formula>C$9&lt;8/24</formula>
    </cfRule>
  </conditionalFormatting>
  <conditionalFormatting sqref="C17:N17 C23:R23">
    <cfRule type="expression" dxfId="6292" priority="42">
      <formula>C$9&gt;=20/24</formula>
    </cfRule>
    <cfRule type="expression" dxfId="6291" priority="43">
      <formula>AND(C$9&gt;=14/24,C$9&lt;20/24)</formula>
    </cfRule>
    <cfRule type="expression" dxfId="6290" priority="44">
      <formula>AND(C$9&gt;=8/24,C$9&lt;14/24)</formula>
    </cfRule>
    <cfRule type="expression" dxfId="6289" priority="45">
      <formula>C$9&lt;8/24</formula>
    </cfRule>
  </conditionalFormatting>
  <conditionalFormatting sqref="C17:N17 C23:R23">
    <cfRule type="expression" dxfId="6288" priority="41">
      <formula>C17&gt;$AG17</formula>
    </cfRule>
  </conditionalFormatting>
  <conditionalFormatting sqref="C78 C87">
    <cfRule type="expression" dxfId="6287" priority="37">
      <formula>C$9&gt;=20/24</formula>
    </cfRule>
    <cfRule type="expression" dxfId="6286" priority="38">
      <formula>AND(C$9&gt;=14/24,C$9&lt;20/24)</formula>
    </cfRule>
    <cfRule type="expression" dxfId="6285" priority="39">
      <formula>AND(C$9&gt;=8/24,C$9&lt;14/24)</formula>
    </cfRule>
    <cfRule type="expression" dxfId="6284" priority="40">
      <formula>C$9&lt;8/24</formula>
    </cfRule>
  </conditionalFormatting>
  <conditionalFormatting sqref="C79 C60 C77 C88">
    <cfRule type="expression" dxfId="6283" priority="33">
      <formula>C$9&gt;=20/24</formula>
    </cfRule>
    <cfRule type="expression" dxfId="6282" priority="34">
      <formula>AND(C$9&gt;=14/24,C$9&lt;20/24)</formula>
    </cfRule>
    <cfRule type="expression" dxfId="6281" priority="35">
      <formula>AND(C$9&gt;=8/24,C$9&lt;14/24)</formula>
    </cfRule>
    <cfRule type="expression" dxfId="6280" priority="36">
      <formula>C$9&lt;8/24</formula>
    </cfRule>
  </conditionalFormatting>
  <conditionalFormatting sqref="C38 C56 C60">
    <cfRule type="expression" dxfId="6279" priority="32">
      <formula>C38&gt;$AG38</formula>
    </cfRule>
  </conditionalFormatting>
  <conditionalFormatting sqref="C72">
    <cfRule type="expression" dxfId="6278" priority="28">
      <formula>C$9&gt;=20/24</formula>
    </cfRule>
    <cfRule type="expression" dxfId="6277" priority="29">
      <formula>AND(C$9&gt;=14/24,C$9&lt;20/24)</formula>
    </cfRule>
    <cfRule type="expression" dxfId="6276" priority="30">
      <formula>AND(C$9&gt;=8/24,C$9&lt;14/24)</formula>
    </cfRule>
    <cfRule type="expression" dxfId="6275" priority="31">
      <formula>C$9&lt;8/24</formula>
    </cfRule>
  </conditionalFormatting>
  <conditionalFormatting sqref="C81:C85">
    <cfRule type="expression" dxfId="6274" priority="24">
      <formula>C$9&gt;=20/24</formula>
    </cfRule>
    <cfRule type="expression" dxfId="6273" priority="25">
      <formula>AND(C$9&gt;=14/24,C$9&lt;20/24)</formula>
    </cfRule>
    <cfRule type="expression" dxfId="6272" priority="26">
      <formula>AND(C$9&gt;=8/24,C$9&lt;14/24)</formula>
    </cfRule>
    <cfRule type="expression" dxfId="6271" priority="27">
      <formula>C$9&lt;8/24</formula>
    </cfRule>
  </conditionalFormatting>
  <conditionalFormatting sqref="C39:C41">
    <cfRule type="expression" dxfId="6270" priority="20">
      <formula>C$9&gt;=20/24</formula>
    </cfRule>
    <cfRule type="expression" dxfId="6269" priority="21">
      <formula>AND(C$9&gt;=14/24,C$9&lt;20/24)</formula>
    </cfRule>
    <cfRule type="expression" dxfId="6268" priority="22">
      <formula>AND(C$9&gt;=8/24,C$9&lt;14/24)</formula>
    </cfRule>
    <cfRule type="expression" dxfId="6267" priority="23">
      <formula>C$9&lt;8/24</formula>
    </cfRule>
  </conditionalFormatting>
  <conditionalFormatting sqref="C39:C41">
    <cfRule type="expression" dxfId="6266" priority="19">
      <formula>C39&gt;$AG39</formula>
    </cfRule>
  </conditionalFormatting>
  <conditionalFormatting sqref="C42">
    <cfRule type="expression" dxfId="6265" priority="15">
      <formula>C$9&gt;=20/24</formula>
    </cfRule>
    <cfRule type="expression" dxfId="6264" priority="16">
      <formula>AND(C$9&gt;=14/24,C$9&lt;20/24)</formula>
    </cfRule>
    <cfRule type="expression" dxfId="6263" priority="17">
      <formula>AND(C$9&gt;=8/24,C$9&lt;14/24)</formula>
    </cfRule>
    <cfRule type="expression" dxfId="6262" priority="18">
      <formula>C$9&lt;8/24</formula>
    </cfRule>
  </conditionalFormatting>
  <conditionalFormatting sqref="C42">
    <cfRule type="expression" dxfId="6261" priority="14">
      <formula>C42&gt;$AG42</formula>
    </cfRule>
  </conditionalFormatting>
  <conditionalFormatting sqref="C97">
    <cfRule type="expression" dxfId="6260" priority="10">
      <formula>C$9&gt;=20/24</formula>
    </cfRule>
    <cfRule type="expression" dxfId="6259" priority="11">
      <formula>AND(C$9&gt;=14/24,C$9&lt;20/24)</formula>
    </cfRule>
    <cfRule type="expression" dxfId="6258" priority="12">
      <formula>AND(C$9&gt;=8/24,C$9&lt;14/24)</formula>
    </cfRule>
    <cfRule type="expression" dxfId="6257" priority="13">
      <formula>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2" id="{F2CE0695-9958-4EB6-9CBE-CEE7070D44E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3" id="{410B6779-D334-46AC-ADE1-B9B96A69569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4" id="{44DCB347-4958-4801-B8C1-724C400F651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5" id="{1A38D8E5-F9C6-4323-BE34-E5671A76166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B31 B80 D80:AF80</xm:sqref>
        </x14:conditionalFormatting>
        <x14:conditionalFormatting xmlns:xm="http://schemas.microsoft.com/office/excel/2006/main">
          <x14:cfRule type="expression" priority="111" id="{B6A91822-BD1A-4451-A477-8143FB130763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104" id="{DA8A179D-2C21-47DF-8746-B22F8FF0294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5" id="{11292B9E-DCD0-4E4E-80BF-58B4AD0EA18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6" id="{BBC4782F-D919-477E-B921-BC7FE2AB1C6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7" id="{2683B49B-7A5C-4AF2-AC64-3DA0BC4FB36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D106:AF106</xm:sqref>
        </x14:conditionalFormatting>
        <x14:conditionalFormatting xmlns:xm="http://schemas.microsoft.com/office/excel/2006/main">
          <x14:cfRule type="expression" priority="100" id="{38B1C468-AA27-4D1A-BAF6-4707A9654B3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1" id="{CA148A1F-7244-4332-B4E1-52DF269698E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2" id="{03C11B07-2518-4211-B47F-9AFE91EABF8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3" id="{266AD3E6-B62A-4B04-81C9-CA12498876A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  <x14:conditionalFormatting xmlns:xm="http://schemas.microsoft.com/office/excel/2006/main">
          <x14:cfRule type="expression" priority="6" id="{13662D5C-1657-4C47-9195-42B7D9CD879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6A49C7D3-2207-49F2-8068-E6A030AA902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5ECD30BC-DDFD-4878-94DC-A7F013F3FDE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0C55C36C-BE93-403B-AB9B-614BA1BDA87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C80 C31:R31</xm:sqref>
        </x14:conditionalFormatting>
        <x14:conditionalFormatting xmlns:xm="http://schemas.microsoft.com/office/excel/2006/main">
          <x14:cfRule type="expression" priority="5" id="{988919C4-6315-47AB-88EA-60E90CA66DE9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C31:R31</xm:sqref>
        </x14:conditionalFormatting>
        <x14:conditionalFormatting xmlns:xm="http://schemas.microsoft.com/office/excel/2006/main">
          <x14:cfRule type="expression" priority="1" id="{AD76AC2E-DC84-45F9-9143-67C430FFAD3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" id="{B2482D3B-E5C2-4991-ADF5-1FC21560A15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" id="{7909B454-C646-416D-A642-CA0037D8E9D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" id="{B8C8B5C9-5E97-4FBD-B7EA-92F400B383D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CJ493"/>
  <sheetViews>
    <sheetView zoomScale="90" zoomScaleNormal="90" workbookViewId="0">
      <pane xSplit="1" ySplit="10" topLeftCell="B83" activePane="bottomRight" state="frozen"/>
      <selection activeCell="AF88" sqref="AF88"/>
      <selection pane="topRight" activeCell="AF88" sqref="AF88"/>
      <selection pane="bottomLeft" activeCell="AF88" sqref="AF88"/>
      <selection pane="bottomRight" activeCell="AL53" sqref="AL53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2079/02/9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26</v>
      </c>
      <c r="C5" s="205">
        <f t="shared" si="0"/>
        <v>24</v>
      </c>
      <c r="D5" s="205">
        <f t="shared" si="0"/>
        <v>22.1</v>
      </c>
      <c r="E5" s="205">
        <f t="shared" si="0"/>
        <v>6</v>
      </c>
      <c r="F5" s="205">
        <f t="shared" si="0"/>
        <v>11.7</v>
      </c>
      <c r="G5" s="205">
        <f t="shared" si="0"/>
        <v>10.199999999999999</v>
      </c>
      <c r="H5" s="205">
        <f t="shared" si="0"/>
        <v>0</v>
      </c>
      <c r="I5" s="205">
        <f t="shared" si="0"/>
        <v>22</v>
      </c>
      <c r="J5" s="205">
        <f t="shared" si="0"/>
        <v>8.9</v>
      </c>
      <c r="K5" s="205">
        <f t="shared" si="0"/>
        <v>33</v>
      </c>
      <c r="L5" s="205">
        <f t="shared" si="0"/>
        <v>40.4</v>
      </c>
      <c r="M5" s="205">
        <f t="shared" si="0"/>
        <v>53.2</v>
      </c>
      <c r="N5" s="205">
        <f t="shared" si="0"/>
        <v>55.8</v>
      </c>
      <c r="O5" s="205">
        <f t="shared" si="0"/>
        <v>66.8</v>
      </c>
      <c r="P5" s="205">
        <f t="shared" si="0"/>
        <v>70.3</v>
      </c>
      <c r="Q5" s="205">
        <f t="shared" si="0"/>
        <v>66.5</v>
      </c>
      <c r="R5" s="205">
        <f t="shared" si="0"/>
        <v>75</v>
      </c>
      <c r="S5" s="205">
        <f t="shared" si="0"/>
        <v>76</v>
      </c>
      <c r="T5" s="205">
        <f t="shared" si="0"/>
        <v>71</v>
      </c>
      <c r="U5" s="205">
        <f t="shared" si="0"/>
        <v>68</v>
      </c>
      <c r="V5" s="205">
        <f t="shared" si="0"/>
        <v>59</v>
      </c>
      <c r="W5" s="205">
        <f t="shared" si="0"/>
        <v>57</v>
      </c>
      <c r="X5" s="205">
        <f t="shared" si="0"/>
        <v>60</v>
      </c>
      <c r="Y5" s="205">
        <f t="shared" si="0"/>
        <v>63</v>
      </c>
      <c r="Z5" s="205">
        <f t="shared" si="0"/>
        <v>75</v>
      </c>
      <c r="AA5" s="205">
        <f t="shared" si="0"/>
        <v>71.400000000000006</v>
      </c>
      <c r="AB5" s="205">
        <f t="shared" si="0"/>
        <v>79</v>
      </c>
      <c r="AC5" s="205">
        <f t="shared" si="0"/>
        <v>80</v>
      </c>
      <c r="AD5" s="205">
        <f t="shared" si="0"/>
        <v>74.2</v>
      </c>
      <c r="AE5" s="205">
        <f t="shared" si="0"/>
        <v>75.8</v>
      </c>
      <c r="AF5" s="205">
        <f>B72</f>
        <v>66.7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1811MW at 6:30hr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Load=4</v>
      </c>
      <c r="B7" s="210">
        <f>B79</f>
        <v>1823.5399999999997</v>
      </c>
      <c r="C7" s="210">
        <f t="shared" ref="C7:AF7" si="1">C79</f>
        <v>1799.8399999999997</v>
      </c>
      <c r="D7" s="210">
        <f t="shared" si="1"/>
        <v>1796.8399999999997</v>
      </c>
      <c r="E7" s="210">
        <f t="shared" si="1"/>
        <v>1795.9399999999996</v>
      </c>
      <c r="F7" s="210">
        <f t="shared" si="1"/>
        <v>1697.8399999999997</v>
      </c>
      <c r="G7" s="210">
        <f t="shared" si="1"/>
        <v>1789.5399999999997</v>
      </c>
      <c r="H7" s="210">
        <f t="shared" si="1"/>
        <v>1804.0399999999997</v>
      </c>
      <c r="I7" s="210">
        <f t="shared" si="1"/>
        <v>3.54</v>
      </c>
      <c r="J7" s="210">
        <f t="shared" si="1"/>
        <v>1810.8399999999997</v>
      </c>
      <c r="K7" s="210">
        <f t="shared" si="1"/>
        <v>1799.04</v>
      </c>
      <c r="L7" s="210">
        <f t="shared" si="1"/>
        <v>1745.1399999999999</v>
      </c>
      <c r="M7" s="210">
        <f t="shared" si="1"/>
        <v>1762.2399999999998</v>
      </c>
      <c r="N7" s="210">
        <f t="shared" si="1"/>
        <v>1770.34</v>
      </c>
      <c r="O7" s="210">
        <f t="shared" si="1"/>
        <v>1772.5399999999997</v>
      </c>
      <c r="P7" s="210">
        <f t="shared" si="1"/>
        <v>1863.0399999999997</v>
      </c>
      <c r="Q7" s="210">
        <f t="shared" si="1"/>
        <v>1863.1399999999999</v>
      </c>
      <c r="R7" s="210">
        <f t="shared" si="1"/>
        <v>1838.84</v>
      </c>
      <c r="S7" s="210">
        <f t="shared" si="1"/>
        <v>1865.34</v>
      </c>
      <c r="T7" s="210">
        <f t="shared" si="1"/>
        <v>1866.34</v>
      </c>
      <c r="U7" s="210">
        <f t="shared" si="1"/>
        <v>1842.34</v>
      </c>
      <c r="V7" s="210">
        <f t="shared" si="1"/>
        <v>1849.34</v>
      </c>
      <c r="W7" s="210">
        <f t="shared" si="1"/>
        <v>1840.34</v>
      </c>
      <c r="X7" s="210">
        <f t="shared" si="1"/>
        <v>1838.34</v>
      </c>
      <c r="Y7" s="210">
        <f t="shared" si="1"/>
        <v>1841.34</v>
      </c>
      <c r="Z7" s="210">
        <f t="shared" si="1"/>
        <v>1914.34</v>
      </c>
      <c r="AA7" s="210">
        <f t="shared" si="1"/>
        <v>1976.2399999999998</v>
      </c>
      <c r="AB7" s="210">
        <f t="shared" si="1"/>
        <v>1939.8400000000001</v>
      </c>
      <c r="AC7" s="210">
        <f t="shared" si="1"/>
        <v>1930.9399999999998</v>
      </c>
      <c r="AD7" s="210">
        <f t="shared" si="1"/>
        <v>1934.34</v>
      </c>
      <c r="AE7" s="210">
        <f t="shared" si="1"/>
        <v>1917.34</v>
      </c>
      <c r="AF7" s="210">
        <f t="shared" si="1"/>
        <v>1879.9399999999998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53.5</v>
      </c>
      <c r="C11" s="221">
        <v>53.5</v>
      </c>
      <c r="D11" s="221">
        <v>53.5</v>
      </c>
      <c r="E11" s="221">
        <v>53.5</v>
      </c>
      <c r="F11" s="221">
        <v>53.5</v>
      </c>
      <c r="G11" s="221">
        <v>53.5</v>
      </c>
      <c r="H11" s="221">
        <v>53.5</v>
      </c>
      <c r="I11" s="221" t="s">
        <v>256</v>
      </c>
      <c r="J11" s="223">
        <v>53.5</v>
      </c>
      <c r="K11" s="223">
        <v>53.5</v>
      </c>
      <c r="L11" s="223">
        <v>53.5</v>
      </c>
      <c r="M11" s="221">
        <v>53.5</v>
      </c>
      <c r="N11" s="221">
        <v>53.5</v>
      </c>
      <c r="O11" s="221">
        <v>53.5</v>
      </c>
      <c r="P11" s="221">
        <v>53.5</v>
      </c>
      <c r="Q11" s="221">
        <v>53.5</v>
      </c>
      <c r="R11" s="221">
        <v>53.5</v>
      </c>
      <c r="S11" s="221">
        <v>53.5</v>
      </c>
      <c r="T11" s="221">
        <v>53.5</v>
      </c>
      <c r="U11" s="221">
        <v>53.5</v>
      </c>
      <c r="V11" s="221">
        <v>53.5</v>
      </c>
      <c r="W11" s="221">
        <v>53.5</v>
      </c>
      <c r="X11" s="221">
        <v>53.5</v>
      </c>
      <c r="Y11" s="221">
        <v>53.5</v>
      </c>
      <c r="Z11" s="221">
        <v>53.5</v>
      </c>
      <c r="AA11" s="224">
        <v>53.5</v>
      </c>
      <c r="AB11" s="224">
        <v>53.5</v>
      </c>
      <c r="AC11" s="224">
        <v>53.6</v>
      </c>
      <c r="AD11" s="224">
        <v>53.6</v>
      </c>
      <c r="AE11" s="224">
        <v>53.6</v>
      </c>
      <c r="AF11" s="224">
        <v>53.6</v>
      </c>
      <c r="AG11" s="225">
        <v>52.4</v>
      </c>
      <c r="AH11" s="226">
        <f>MAX(B11:AF11)</f>
        <v>53.6</v>
      </c>
      <c r="AI11" s="227">
        <f>MIN(B11:AF11)</f>
        <v>53.5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50.4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 t="s">
        <v>262</v>
      </c>
      <c r="J12" s="221">
        <v>50.4</v>
      </c>
      <c r="K12" s="221">
        <v>50.4</v>
      </c>
      <c r="L12" s="221">
        <v>50.4</v>
      </c>
      <c r="M12" s="223">
        <v>50.5</v>
      </c>
      <c r="N12" s="223">
        <v>50.5</v>
      </c>
      <c r="O12" s="223">
        <v>50.5</v>
      </c>
      <c r="P12" s="223">
        <v>50.5</v>
      </c>
      <c r="Q12" s="223">
        <v>50.5</v>
      </c>
      <c r="R12" s="223">
        <v>50.5</v>
      </c>
      <c r="S12" s="223">
        <v>50.5</v>
      </c>
      <c r="T12" s="223">
        <v>50.5</v>
      </c>
      <c r="U12" s="223">
        <v>50.5</v>
      </c>
      <c r="V12" s="223">
        <v>50.5</v>
      </c>
      <c r="W12" s="223">
        <v>50.5</v>
      </c>
      <c r="X12" s="223">
        <v>50.5</v>
      </c>
      <c r="Y12" s="223">
        <v>50.5</v>
      </c>
      <c r="Z12" s="223">
        <v>50.5</v>
      </c>
      <c r="AA12" s="221">
        <v>50.4</v>
      </c>
      <c r="AB12" s="221">
        <v>50.4</v>
      </c>
      <c r="AC12" s="221">
        <v>50.2</v>
      </c>
      <c r="AD12" s="221">
        <v>50.2</v>
      </c>
      <c r="AE12" s="221">
        <v>50.2</v>
      </c>
      <c r="AF12" s="221">
        <v>50.2</v>
      </c>
      <c r="AG12" s="229">
        <v>50</v>
      </c>
      <c r="AH12" s="226">
        <f t="shared" ref="AH12:AH79" si="2">MAX(B12:AF12)</f>
        <v>50.5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 t="s">
        <v>243</v>
      </c>
      <c r="J13" s="221">
        <v>46</v>
      </c>
      <c r="K13" s="221">
        <v>46</v>
      </c>
      <c r="L13" s="221">
        <v>46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45.9</v>
      </c>
      <c r="Y13" s="221">
        <v>45.9</v>
      </c>
      <c r="Z13" s="221">
        <v>45.9</v>
      </c>
      <c r="AA13" s="221">
        <v>45.9</v>
      </c>
      <c r="AB13" s="221">
        <v>45.9</v>
      </c>
      <c r="AC13" s="221">
        <v>45.9</v>
      </c>
      <c r="AD13" s="221">
        <v>45.9</v>
      </c>
      <c r="AE13" s="221">
        <v>45.9</v>
      </c>
      <c r="AF13" s="221">
        <v>45.9</v>
      </c>
      <c r="AG13" s="229">
        <v>45</v>
      </c>
      <c r="AH13" s="226">
        <f t="shared" si="2"/>
        <v>46</v>
      </c>
      <c r="AI13" s="227">
        <f t="shared" si="3"/>
        <v>45.9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0</v>
      </c>
      <c r="C14" s="221">
        <v>28</v>
      </c>
      <c r="D14" s="221">
        <v>28</v>
      </c>
      <c r="E14" s="221">
        <v>35</v>
      </c>
      <c r="F14" s="221">
        <v>30</v>
      </c>
      <c r="G14" s="221">
        <v>30</v>
      </c>
      <c r="H14" s="221">
        <v>34</v>
      </c>
      <c r="I14" s="221" t="s">
        <v>244</v>
      </c>
      <c r="J14" s="221">
        <v>34</v>
      </c>
      <c r="K14" s="221">
        <v>34</v>
      </c>
      <c r="L14" s="221">
        <v>34</v>
      </c>
      <c r="M14" s="221">
        <v>34</v>
      </c>
      <c r="N14" s="221">
        <v>36</v>
      </c>
      <c r="O14" s="221">
        <v>33</v>
      </c>
      <c r="P14" s="221">
        <v>33</v>
      </c>
      <c r="Q14" s="221">
        <v>33</v>
      </c>
      <c r="R14" s="221">
        <v>33</v>
      </c>
      <c r="S14" s="221">
        <v>33</v>
      </c>
      <c r="T14" s="221">
        <v>33</v>
      </c>
      <c r="U14" s="221">
        <v>33</v>
      </c>
      <c r="V14" s="221">
        <v>33</v>
      </c>
      <c r="W14" s="221">
        <v>33</v>
      </c>
      <c r="X14" s="221">
        <v>33</v>
      </c>
      <c r="Y14" s="221">
        <v>33</v>
      </c>
      <c r="Z14" s="221">
        <v>33</v>
      </c>
      <c r="AA14" s="221">
        <v>40</v>
      </c>
      <c r="AB14" s="221">
        <v>40</v>
      </c>
      <c r="AC14" s="221">
        <v>40</v>
      </c>
      <c r="AD14" s="221">
        <v>36</v>
      </c>
      <c r="AE14" s="221">
        <v>36</v>
      </c>
      <c r="AF14" s="221">
        <v>34</v>
      </c>
      <c r="AG14" s="229">
        <v>42</v>
      </c>
      <c r="AH14" s="226">
        <f t="shared" si="2"/>
        <v>40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19</v>
      </c>
      <c r="C15" s="221">
        <v>18</v>
      </c>
      <c r="D15" s="221">
        <v>17</v>
      </c>
      <c r="E15" s="221">
        <v>17</v>
      </c>
      <c r="F15" s="221">
        <v>10</v>
      </c>
      <c r="G15" s="221">
        <v>20</v>
      </c>
      <c r="H15" s="221">
        <v>30</v>
      </c>
      <c r="I15" s="221" t="s">
        <v>263</v>
      </c>
      <c r="J15" s="221">
        <v>20</v>
      </c>
      <c r="K15" s="221">
        <v>21.3</v>
      </c>
      <c r="L15" s="221">
        <v>21.3</v>
      </c>
      <c r="M15" s="221">
        <v>27.5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10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26.4</v>
      </c>
      <c r="C16" s="221">
        <v>26.4</v>
      </c>
      <c r="D16" s="221">
        <v>26.4</v>
      </c>
      <c r="E16" s="221">
        <v>26.4</v>
      </c>
      <c r="F16" s="221">
        <v>26.4</v>
      </c>
      <c r="G16" s="221">
        <v>26.4</v>
      </c>
      <c r="H16" s="221">
        <v>26.4</v>
      </c>
      <c r="I16" s="221" t="s">
        <v>264</v>
      </c>
      <c r="J16" s="221">
        <v>26.4</v>
      </c>
      <c r="K16" s="221">
        <v>26.4</v>
      </c>
      <c r="L16" s="221">
        <v>26.4</v>
      </c>
      <c r="M16" s="221">
        <v>26.4</v>
      </c>
      <c r="N16" s="221">
        <v>26.4</v>
      </c>
      <c r="O16" s="221">
        <v>26.4</v>
      </c>
      <c r="P16" s="221">
        <v>26.4</v>
      </c>
      <c r="Q16" s="221">
        <v>26.2</v>
      </c>
      <c r="R16" s="221">
        <v>26.2</v>
      </c>
      <c r="S16" s="221">
        <v>26.2</v>
      </c>
      <c r="T16" s="221">
        <v>26.2</v>
      </c>
      <c r="U16" s="221">
        <v>26.2</v>
      </c>
      <c r="V16" s="221">
        <v>26.2</v>
      </c>
      <c r="W16" s="221">
        <v>26.2</v>
      </c>
      <c r="X16" s="221">
        <v>26.2</v>
      </c>
      <c r="Y16" s="221">
        <v>26.2</v>
      </c>
      <c r="Z16" s="221">
        <v>26.2</v>
      </c>
      <c r="AA16" s="221">
        <v>26.4</v>
      </c>
      <c r="AB16" s="221">
        <v>26.4</v>
      </c>
      <c r="AC16" s="221">
        <v>26.3</v>
      </c>
      <c r="AD16" s="221">
        <v>26.3</v>
      </c>
      <c r="AE16" s="221">
        <v>26.3</v>
      </c>
      <c r="AF16" s="221">
        <v>26.3</v>
      </c>
      <c r="AG16" s="229">
        <v>25</v>
      </c>
      <c r="AH16" s="226">
        <f t="shared" si="2"/>
        <v>26.4</v>
      </c>
      <c r="AI16" s="227">
        <f t="shared" si="3"/>
        <v>26.2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13</v>
      </c>
      <c r="C17" s="221">
        <v>13</v>
      </c>
      <c r="D17" s="221">
        <v>13</v>
      </c>
      <c r="E17" s="221">
        <v>13</v>
      </c>
      <c r="F17" s="221">
        <v>13</v>
      </c>
      <c r="G17" s="221">
        <v>13</v>
      </c>
      <c r="H17" s="221">
        <v>13</v>
      </c>
      <c r="I17" s="221"/>
      <c r="J17" s="221">
        <v>13</v>
      </c>
      <c r="K17" s="221">
        <v>13</v>
      </c>
      <c r="L17" s="221">
        <v>13</v>
      </c>
      <c r="M17" s="221">
        <v>13</v>
      </c>
      <c r="N17" s="221">
        <v>13</v>
      </c>
      <c r="O17" s="221">
        <v>13</v>
      </c>
      <c r="P17" s="221">
        <v>13</v>
      </c>
      <c r="Q17" s="221">
        <v>13</v>
      </c>
      <c r="R17" s="221"/>
      <c r="S17" s="221">
        <v>13</v>
      </c>
      <c r="T17" s="221">
        <v>13</v>
      </c>
      <c r="U17" s="221">
        <v>13</v>
      </c>
      <c r="V17" s="221">
        <v>13</v>
      </c>
      <c r="W17" s="221">
        <v>13</v>
      </c>
      <c r="X17" s="221">
        <v>13</v>
      </c>
      <c r="Y17" s="221">
        <v>13</v>
      </c>
      <c r="Z17" s="221">
        <v>13</v>
      </c>
      <c r="AA17" s="221">
        <v>13</v>
      </c>
      <c r="AB17" s="221">
        <v>13</v>
      </c>
      <c r="AC17" s="221">
        <v>13</v>
      </c>
      <c r="AD17" s="221">
        <v>13</v>
      </c>
      <c r="AE17" s="221">
        <v>13</v>
      </c>
      <c r="AF17" s="221">
        <v>13</v>
      </c>
      <c r="AG17" s="229">
        <v>25</v>
      </c>
      <c r="AH17" s="226">
        <f t="shared" si="2"/>
        <v>13</v>
      </c>
      <c r="AI17" s="227">
        <f t="shared" si="3"/>
        <v>13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 t="s">
        <v>241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33.200000000000003</v>
      </c>
      <c r="E19" s="221">
        <v>33.200000000000003</v>
      </c>
      <c r="F19" s="221">
        <v>33.200000000000003</v>
      </c>
      <c r="G19" s="221">
        <v>33.200000000000003</v>
      </c>
      <c r="H19" s="221">
        <v>33.200000000000003</v>
      </c>
      <c r="I19" s="221" t="s">
        <v>242</v>
      </c>
      <c r="J19" s="221">
        <v>33.200000000000003</v>
      </c>
      <c r="K19" s="221">
        <v>33.200000000000003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33.299999999999997</v>
      </c>
      <c r="AD19" s="221">
        <v>33.299999999999997</v>
      </c>
      <c r="AE19" s="221">
        <v>33.299999999999997</v>
      </c>
      <c r="AF19" s="221">
        <v>33.299999999999997</v>
      </c>
      <c r="AG19" s="229">
        <v>24.2</v>
      </c>
      <c r="AH19" s="226">
        <f t="shared" si="2"/>
        <v>33.299999999999997</v>
      </c>
      <c r="AI19" s="227">
        <f t="shared" si="3"/>
        <v>33.200000000000003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 t="s">
        <v>243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23.7</v>
      </c>
      <c r="AD20" s="221">
        <v>23.7</v>
      </c>
      <c r="AE20" s="221">
        <v>23.7</v>
      </c>
      <c r="AF20" s="221">
        <v>23.7</v>
      </c>
      <c r="AG20" s="229">
        <v>23.5</v>
      </c>
      <c r="AH20" s="226">
        <f t="shared" si="2"/>
        <v>23.7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 t="s">
        <v>244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0</v>
      </c>
      <c r="V21" s="221">
        <v>10</v>
      </c>
      <c r="W21" s="221">
        <v>10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0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 t="s">
        <v>245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 t="s">
        <v>246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 t="s">
        <v>247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20</v>
      </c>
      <c r="C25" s="221">
        <v>10</v>
      </c>
      <c r="D25" s="221">
        <v>10</v>
      </c>
      <c r="E25" s="221">
        <v>14</v>
      </c>
      <c r="F25" s="221">
        <v>10</v>
      </c>
      <c r="G25" s="221">
        <v>10</v>
      </c>
      <c r="H25" s="221">
        <v>12</v>
      </c>
      <c r="I25" s="221"/>
      <c r="J25" s="221">
        <v>12</v>
      </c>
      <c r="K25" s="221">
        <v>12</v>
      </c>
      <c r="L25" s="221">
        <v>15</v>
      </c>
      <c r="M25" s="221">
        <v>15</v>
      </c>
      <c r="N25" s="221">
        <v>15</v>
      </c>
      <c r="O25" s="221">
        <v>15</v>
      </c>
      <c r="P25" s="221">
        <v>15</v>
      </c>
      <c r="Q25" s="221">
        <v>15</v>
      </c>
      <c r="R25" s="221">
        <v>15</v>
      </c>
      <c r="S25" s="221">
        <v>15</v>
      </c>
      <c r="T25" s="221">
        <v>15</v>
      </c>
      <c r="U25" s="221">
        <v>15</v>
      </c>
      <c r="V25" s="221">
        <v>15</v>
      </c>
      <c r="W25" s="221">
        <v>15</v>
      </c>
      <c r="X25" s="221">
        <v>13</v>
      </c>
      <c r="Y25" s="221">
        <v>13</v>
      </c>
      <c r="Z25" s="221">
        <v>13</v>
      </c>
      <c r="AA25" s="221">
        <v>20</v>
      </c>
      <c r="AB25" s="221">
        <v>20</v>
      </c>
      <c r="AC25" s="221">
        <v>20</v>
      </c>
      <c r="AD25" s="221">
        <v>16</v>
      </c>
      <c r="AE25" s="221">
        <v>16</v>
      </c>
      <c r="AF25" s="221">
        <v>12</v>
      </c>
      <c r="AG25" s="229">
        <v>20</v>
      </c>
      <c r="AH25" s="226">
        <f t="shared" si="2"/>
        <v>20</v>
      </c>
      <c r="AI25" s="227">
        <f t="shared" si="3"/>
        <v>10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 t="s">
        <v>265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/>
      <c r="S26" s="221">
        <v>15</v>
      </c>
      <c r="T26" s="221">
        <v>15</v>
      </c>
      <c r="U26" s="221">
        <v>15</v>
      </c>
      <c r="V26" s="221">
        <v>15</v>
      </c>
      <c r="W26" s="221">
        <v>15</v>
      </c>
      <c r="X26" s="221">
        <v>15</v>
      </c>
      <c r="Y26" s="221">
        <v>15</v>
      </c>
      <c r="Z26" s="221">
        <v>15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15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 t="s">
        <v>263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 t="s">
        <v>243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 t="s">
        <v>244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349">
        <v>12</v>
      </c>
      <c r="AB29" s="349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/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349">
        <v>2</v>
      </c>
      <c r="AB30" s="349">
        <v>2</v>
      </c>
      <c r="AC30" s="349">
        <v>2</v>
      </c>
      <c r="AD30" s="349">
        <v>2</v>
      </c>
      <c r="AE30" s="349">
        <v>2</v>
      </c>
      <c r="AF30" s="349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/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349">
        <v>12</v>
      </c>
      <c r="AB31" s="349">
        <v>12</v>
      </c>
      <c r="AC31" s="349">
        <v>12</v>
      </c>
      <c r="AD31" s="349">
        <v>12</v>
      </c>
      <c r="AE31" s="349">
        <v>12</v>
      </c>
      <c r="AF31" s="349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6.4</v>
      </c>
      <c r="C32" s="221">
        <v>6.4</v>
      </c>
      <c r="D32" s="221">
        <v>6.4</v>
      </c>
      <c r="E32" s="221">
        <v>6.4</v>
      </c>
      <c r="F32" s="221">
        <v>6.4</v>
      </c>
      <c r="G32" s="221">
        <v>6.4</v>
      </c>
      <c r="H32" s="221">
        <v>6.4</v>
      </c>
      <c r="I32" s="221"/>
      <c r="J32" s="221">
        <v>6.4</v>
      </c>
      <c r="K32" s="221">
        <v>6.4</v>
      </c>
      <c r="L32" s="221">
        <v>6.4</v>
      </c>
      <c r="M32" s="348">
        <v>6.4</v>
      </c>
      <c r="N32" s="348">
        <v>6.4</v>
      </c>
      <c r="O32" s="348">
        <v>6.4</v>
      </c>
      <c r="P32" s="348">
        <v>6.4</v>
      </c>
      <c r="Q32" s="348">
        <v>6.4</v>
      </c>
      <c r="R32" s="348">
        <v>6.4</v>
      </c>
      <c r="S32" s="348">
        <v>6.4</v>
      </c>
      <c r="T32" s="348">
        <v>6.4</v>
      </c>
      <c r="U32" s="348">
        <v>6.4</v>
      </c>
      <c r="V32" s="348">
        <v>6.4</v>
      </c>
      <c r="W32" s="348">
        <v>6.4</v>
      </c>
      <c r="X32" s="348">
        <v>6.4</v>
      </c>
      <c r="Y32" s="348">
        <v>6.4</v>
      </c>
      <c r="Z32" s="348">
        <v>6.4</v>
      </c>
      <c r="AA32" s="349">
        <v>6.4</v>
      </c>
      <c r="AB32" s="349">
        <v>12.2</v>
      </c>
      <c r="AC32" s="349">
        <v>12.2</v>
      </c>
      <c r="AD32" s="349">
        <v>12.2</v>
      </c>
      <c r="AE32" s="349">
        <v>12.2</v>
      </c>
      <c r="AF32" s="349">
        <v>12.2</v>
      </c>
      <c r="AG32" s="230">
        <v>11.88</v>
      </c>
      <c r="AH32" s="226">
        <f t="shared" si="2"/>
        <v>12.2</v>
      </c>
      <c r="AI32" s="227">
        <f t="shared" si="3"/>
        <v>6.4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/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349">
        <v>11</v>
      </c>
      <c r="AB33" s="349">
        <v>11</v>
      </c>
      <c r="AC33" s="349">
        <v>11</v>
      </c>
      <c r="AD33" s="349">
        <v>11</v>
      </c>
      <c r="AE33" s="349">
        <v>11</v>
      </c>
      <c r="AF33" s="349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/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349">
        <v>9</v>
      </c>
      <c r="AB34" s="349">
        <v>9</v>
      </c>
      <c r="AC34" s="349">
        <v>9</v>
      </c>
      <c r="AD34" s="349">
        <v>9</v>
      </c>
      <c r="AE34" s="349">
        <v>9</v>
      </c>
      <c r="AF34" s="349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/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/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156.30000000000001</v>
      </c>
      <c r="C37" s="239">
        <v>156.30000000000001</v>
      </c>
      <c r="D37" s="239">
        <v>156.30000000000001</v>
      </c>
      <c r="E37" s="239">
        <v>156.30000000000001</v>
      </c>
      <c r="F37" s="239">
        <f>61+102.1</f>
        <v>163.1</v>
      </c>
      <c r="G37" s="239">
        <f>61+102.1</f>
        <v>163.1</v>
      </c>
      <c r="H37" s="239">
        <f>60.9+101.4</f>
        <v>162.30000000000001</v>
      </c>
      <c r="I37" s="237"/>
      <c r="J37" s="237">
        <v>162.30000000000001</v>
      </c>
      <c r="K37" s="237">
        <v>162.30000000000001</v>
      </c>
      <c r="L37" s="237">
        <f>60.2+100.6</f>
        <v>160.80000000000001</v>
      </c>
      <c r="M37" s="237">
        <f>100.9+55.6</f>
        <v>156.5</v>
      </c>
      <c r="N37" s="237">
        <f>55.1+101.3</f>
        <v>156.4</v>
      </c>
      <c r="O37" s="237">
        <f>101.3+55.3</f>
        <v>156.6</v>
      </c>
      <c r="P37" s="237">
        <f>101.4+60.1</f>
        <v>161.5</v>
      </c>
      <c r="Q37" s="237">
        <f>101.4+56.4</f>
        <v>157.80000000000001</v>
      </c>
      <c r="R37" s="237">
        <v>0</v>
      </c>
      <c r="S37" s="239">
        <f t="shared" ref="S37:Z37" si="4">60+88</f>
        <v>148</v>
      </c>
      <c r="T37" s="239">
        <f t="shared" si="4"/>
        <v>148</v>
      </c>
      <c r="U37" s="239">
        <f t="shared" si="4"/>
        <v>148</v>
      </c>
      <c r="V37" s="239">
        <f t="shared" si="4"/>
        <v>148</v>
      </c>
      <c r="W37" s="239">
        <f t="shared" si="4"/>
        <v>148</v>
      </c>
      <c r="X37" s="239">
        <f t="shared" si="4"/>
        <v>148</v>
      </c>
      <c r="Y37" s="239">
        <f t="shared" si="4"/>
        <v>148</v>
      </c>
      <c r="Z37" s="239">
        <f t="shared" si="4"/>
        <v>148</v>
      </c>
      <c r="AA37" s="239">
        <v>158.6</v>
      </c>
      <c r="AB37" s="239">
        <v>158.6</v>
      </c>
      <c r="AC37" s="239">
        <f>100.8+64.7</f>
        <v>165.5</v>
      </c>
      <c r="AD37" s="239">
        <f>101.1+64.8</f>
        <v>165.89999999999998</v>
      </c>
      <c r="AE37" s="239">
        <f>102+65.3</f>
        <v>167.3</v>
      </c>
      <c r="AF37" s="239">
        <f>102+65.3</f>
        <v>167.3</v>
      </c>
      <c r="AG37" s="235">
        <v>240</v>
      </c>
      <c r="AH37" s="226">
        <f t="shared" si="2"/>
        <v>167.3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 t="shared" ref="B38:AG38" si="5">SUM(B11:B36)</f>
        <v>787.19999999999993</v>
      </c>
      <c r="C38" s="241">
        <f t="shared" si="5"/>
        <v>804.19999999999993</v>
      </c>
      <c r="D38" s="241">
        <f t="shared" si="5"/>
        <v>803.19999999999993</v>
      </c>
      <c r="E38" s="241">
        <f t="shared" si="5"/>
        <v>814.19999999999993</v>
      </c>
      <c r="F38" s="241">
        <f t="shared" si="5"/>
        <v>798.19999999999993</v>
      </c>
      <c r="G38" s="241">
        <f t="shared" si="5"/>
        <v>808.19999999999993</v>
      </c>
      <c r="H38" s="241">
        <f t="shared" si="5"/>
        <v>824.19999999999993</v>
      </c>
      <c r="I38" s="241">
        <f t="shared" si="5"/>
        <v>0</v>
      </c>
      <c r="J38" s="241">
        <f t="shared" si="5"/>
        <v>814.19999999999993</v>
      </c>
      <c r="K38" s="241">
        <f t="shared" si="5"/>
        <v>815.5</v>
      </c>
      <c r="L38" s="241">
        <f t="shared" si="5"/>
        <v>818.5</v>
      </c>
      <c r="M38" s="241">
        <f t="shared" si="5"/>
        <v>824.69999999999993</v>
      </c>
      <c r="N38" s="241">
        <f t="shared" si="5"/>
        <v>829.19999999999993</v>
      </c>
      <c r="O38" s="241">
        <f t="shared" si="5"/>
        <v>826.19999999999993</v>
      </c>
      <c r="P38" s="241">
        <f t="shared" si="5"/>
        <v>826.19999999999993</v>
      </c>
      <c r="Q38" s="241">
        <f t="shared" si="5"/>
        <v>826</v>
      </c>
      <c r="R38" s="241">
        <f t="shared" si="5"/>
        <v>798.09999999999991</v>
      </c>
      <c r="S38" s="241">
        <f t="shared" si="5"/>
        <v>826.09999999999991</v>
      </c>
      <c r="T38" s="241">
        <f t="shared" si="5"/>
        <v>826.09999999999991</v>
      </c>
      <c r="U38" s="241">
        <f>SUM(U11:U36)</f>
        <v>807.09999999999991</v>
      </c>
      <c r="V38" s="241">
        <f t="shared" si="5"/>
        <v>817.09999999999991</v>
      </c>
      <c r="W38" s="241">
        <f t="shared" si="5"/>
        <v>817.09999999999991</v>
      </c>
      <c r="X38" s="241">
        <f t="shared" si="5"/>
        <v>824.09999999999991</v>
      </c>
      <c r="Y38" s="241">
        <f t="shared" si="5"/>
        <v>824.09999999999991</v>
      </c>
      <c r="Z38" s="241">
        <f t="shared" si="5"/>
        <v>824.09999999999991</v>
      </c>
      <c r="AA38" s="241">
        <f t="shared" si="5"/>
        <v>838.1</v>
      </c>
      <c r="AB38" s="241">
        <f t="shared" si="5"/>
        <v>843.9</v>
      </c>
      <c r="AC38" s="241">
        <f t="shared" si="5"/>
        <v>844.1</v>
      </c>
      <c r="AD38" s="241">
        <f t="shared" si="5"/>
        <v>836.1</v>
      </c>
      <c r="AE38" s="241">
        <f t="shared" si="5"/>
        <v>836.1</v>
      </c>
      <c r="AF38" s="241">
        <f t="shared" si="5"/>
        <v>830.09999999999991</v>
      </c>
      <c r="AG38" s="242">
        <f t="shared" si="5"/>
        <v>665.78</v>
      </c>
      <c r="AH38" s="226">
        <f t="shared" si="2"/>
        <v>844.1</v>
      </c>
      <c r="AI38" s="227">
        <f t="shared" si="3"/>
        <v>0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380</v>
      </c>
      <c r="G39" s="221">
        <v>456</v>
      </c>
      <c r="H39" s="221">
        <v>456</v>
      </c>
      <c r="I39" s="221"/>
      <c r="J39" s="221">
        <v>456</v>
      </c>
      <c r="K39" s="221">
        <v>456</v>
      </c>
      <c r="L39" s="221">
        <v>380</v>
      </c>
      <c r="M39" s="221">
        <v>380</v>
      </c>
      <c r="N39" s="221">
        <v>380</v>
      </c>
      <c r="O39" s="221">
        <v>380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/>
      <c r="J40" s="245">
        <v>60</v>
      </c>
      <c r="K40" s="245">
        <v>60</v>
      </c>
      <c r="L40" s="245">
        <v>60</v>
      </c>
      <c r="M40" s="245">
        <v>60</v>
      </c>
      <c r="N40" s="245">
        <v>48</v>
      </c>
      <c r="O40" s="245">
        <v>48</v>
      </c>
      <c r="P40" s="245">
        <v>48</v>
      </c>
      <c r="Q40" s="245">
        <v>48</v>
      </c>
      <c r="R40" s="245">
        <v>48</v>
      </c>
      <c r="S40" s="245">
        <v>48</v>
      </c>
      <c r="T40" s="245">
        <v>48</v>
      </c>
      <c r="U40" s="245">
        <v>48</v>
      </c>
      <c r="V40" s="245">
        <v>48</v>
      </c>
      <c r="W40" s="245">
        <v>48</v>
      </c>
      <c r="X40" s="245">
        <v>48</v>
      </c>
      <c r="Y40" s="245">
        <v>48</v>
      </c>
      <c r="Z40" s="245">
        <v>48</v>
      </c>
      <c r="AA40" s="245">
        <v>48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48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/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6">SUM(C39:C41)</f>
        <v>538</v>
      </c>
      <c r="D42" s="241">
        <f t="shared" si="6"/>
        <v>538</v>
      </c>
      <c r="E42" s="241">
        <f t="shared" si="6"/>
        <v>538</v>
      </c>
      <c r="F42" s="241">
        <f t="shared" si="6"/>
        <v>462</v>
      </c>
      <c r="G42" s="241">
        <f t="shared" si="6"/>
        <v>538</v>
      </c>
      <c r="H42" s="241">
        <f t="shared" si="6"/>
        <v>538</v>
      </c>
      <c r="I42" s="241">
        <f t="shared" si="6"/>
        <v>0</v>
      </c>
      <c r="J42" s="241">
        <f t="shared" si="6"/>
        <v>538</v>
      </c>
      <c r="K42" s="241">
        <f t="shared" si="6"/>
        <v>538</v>
      </c>
      <c r="L42" s="241">
        <f t="shared" si="6"/>
        <v>462</v>
      </c>
      <c r="M42" s="241">
        <f t="shared" si="6"/>
        <v>462</v>
      </c>
      <c r="N42" s="241">
        <f t="shared" si="6"/>
        <v>450</v>
      </c>
      <c r="O42" s="241">
        <f t="shared" si="6"/>
        <v>450</v>
      </c>
      <c r="P42" s="241">
        <f t="shared" si="6"/>
        <v>526</v>
      </c>
      <c r="Q42" s="241">
        <f t="shared" si="6"/>
        <v>526</v>
      </c>
      <c r="R42" s="241">
        <f t="shared" si="6"/>
        <v>526</v>
      </c>
      <c r="S42" s="241">
        <f t="shared" si="6"/>
        <v>526</v>
      </c>
      <c r="T42" s="241">
        <f t="shared" si="6"/>
        <v>526</v>
      </c>
      <c r="U42" s="241">
        <f t="shared" si="6"/>
        <v>526</v>
      </c>
      <c r="V42" s="241">
        <f t="shared" si="6"/>
        <v>526</v>
      </c>
      <c r="W42" s="241">
        <f t="shared" si="6"/>
        <v>526</v>
      </c>
      <c r="X42" s="241">
        <f t="shared" si="6"/>
        <v>526</v>
      </c>
      <c r="Y42" s="241">
        <f t="shared" si="6"/>
        <v>526</v>
      </c>
      <c r="Z42" s="241">
        <f t="shared" si="6"/>
        <v>526</v>
      </c>
      <c r="AA42" s="241">
        <f t="shared" si="6"/>
        <v>526</v>
      </c>
      <c r="AB42" s="241">
        <f t="shared" si="6"/>
        <v>538</v>
      </c>
      <c r="AC42" s="241">
        <f t="shared" si="6"/>
        <v>538</v>
      </c>
      <c r="AD42" s="241">
        <f t="shared" si="6"/>
        <v>538</v>
      </c>
      <c r="AE42" s="241">
        <f t="shared" si="6"/>
        <v>538</v>
      </c>
      <c r="AF42" s="241">
        <f t="shared" si="6"/>
        <v>538</v>
      </c>
      <c r="AG42" s="242">
        <f t="shared" si="6"/>
        <v>538.1</v>
      </c>
      <c r="AH42" s="226">
        <f t="shared" si="2"/>
        <v>538</v>
      </c>
      <c r="AI42" s="227">
        <f t="shared" si="3"/>
        <v>0</v>
      </c>
      <c r="AK42" s="228"/>
    </row>
    <row r="43" spans="1:88" x14ac:dyDescent="0.25">
      <c r="A43" s="220" t="s">
        <v>51</v>
      </c>
      <c r="B43" s="221">
        <v>143.30000000000001</v>
      </c>
      <c r="C43" s="221">
        <v>143.30000000000001</v>
      </c>
      <c r="D43" s="221">
        <v>143.30000000000001</v>
      </c>
      <c r="E43" s="221">
        <v>143.30000000000001</v>
      </c>
      <c r="F43" s="221">
        <v>143.30000000000001</v>
      </c>
      <c r="G43" s="221">
        <v>143.30000000000001</v>
      </c>
      <c r="H43" s="221">
        <v>143.30000000000001</v>
      </c>
      <c r="I43" s="221"/>
      <c r="J43" s="221">
        <v>143.30000000000001</v>
      </c>
      <c r="K43" s="221">
        <v>143.30000000000001</v>
      </c>
      <c r="L43" s="221">
        <v>143.30000000000001</v>
      </c>
      <c r="M43" s="221">
        <v>143</v>
      </c>
      <c r="N43" s="221">
        <v>142.80000000000001</v>
      </c>
      <c r="O43" s="221">
        <v>142.80000000000001</v>
      </c>
      <c r="P43" s="221">
        <v>143.6</v>
      </c>
      <c r="Q43" s="221">
        <v>143.9</v>
      </c>
      <c r="R43" s="221">
        <v>143.4</v>
      </c>
      <c r="S43" s="221">
        <v>143.4</v>
      </c>
      <c r="T43" s="221">
        <v>143.4</v>
      </c>
      <c r="U43" s="221">
        <v>143.4</v>
      </c>
      <c r="V43" s="221">
        <v>143.4</v>
      </c>
      <c r="W43" s="221">
        <v>143.4</v>
      </c>
      <c r="X43" s="221">
        <v>143.4</v>
      </c>
      <c r="Y43" s="221">
        <v>143.4</v>
      </c>
      <c r="Z43" s="221">
        <v>143.4</v>
      </c>
      <c r="AA43" s="221">
        <v>143.80000000000001</v>
      </c>
      <c r="AB43" s="221">
        <v>143.80000000000001</v>
      </c>
      <c r="AC43" s="221">
        <v>143.80000000000001</v>
      </c>
      <c r="AD43" s="221">
        <v>143.80000000000001</v>
      </c>
      <c r="AE43" s="221">
        <v>143.80000000000001</v>
      </c>
      <c r="AF43" s="221">
        <v>143.80000000000001</v>
      </c>
      <c r="AG43" s="230">
        <v>144</v>
      </c>
      <c r="AH43" s="226">
        <f t="shared" si="2"/>
        <v>143.9</v>
      </c>
      <c r="AI43" s="227">
        <f t="shared" si="3"/>
        <v>142.80000000000001</v>
      </c>
      <c r="AK43" s="228"/>
    </row>
    <row r="44" spans="1:88" x14ac:dyDescent="0.25">
      <c r="A44" s="234" t="s">
        <v>52</v>
      </c>
      <c r="B44" s="245">
        <v>70</v>
      </c>
      <c r="C44" s="245">
        <v>70</v>
      </c>
      <c r="D44" s="245">
        <v>70</v>
      </c>
      <c r="E44" s="245">
        <v>70</v>
      </c>
      <c r="F44" s="245">
        <v>70</v>
      </c>
      <c r="G44" s="245">
        <v>70</v>
      </c>
      <c r="H44" s="245">
        <v>70</v>
      </c>
      <c r="I44" s="245"/>
      <c r="J44" s="245">
        <v>70</v>
      </c>
      <c r="K44" s="245">
        <v>70</v>
      </c>
      <c r="L44" s="245">
        <v>70</v>
      </c>
      <c r="M44" s="221">
        <v>73.599999999999994</v>
      </c>
      <c r="N44" s="221">
        <v>72.3</v>
      </c>
      <c r="O44" s="221">
        <v>72.8</v>
      </c>
      <c r="P44" s="221">
        <v>73.3</v>
      </c>
      <c r="Q44" s="221">
        <v>70.5</v>
      </c>
      <c r="R44" s="221">
        <v>70.7</v>
      </c>
      <c r="S44" s="221">
        <v>70.7</v>
      </c>
      <c r="T44" s="221">
        <v>70.7</v>
      </c>
      <c r="U44" s="221">
        <v>70.7</v>
      </c>
      <c r="V44" s="221">
        <v>70.7</v>
      </c>
      <c r="W44" s="221">
        <v>70.7</v>
      </c>
      <c r="X44" s="221">
        <v>71</v>
      </c>
      <c r="Y44" s="221">
        <v>71</v>
      </c>
      <c r="Z44" s="221">
        <v>71</v>
      </c>
      <c r="AA44" s="245">
        <v>72</v>
      </c>
      <c r="AB44" s="245">
        <v>72</v>
      </c>
      <c r="AC44" s="245">
        <v>72</v>
      </c>
      <c r="AD44" s="245">
        <v>72</v>
      </c>
      <c r="AE44" s="245">
        <v>72</v>
      </c>
      <c r="AF44" s="245">
        <v>72</v>
      </c>
      <c r="AG44" s="235">
        <v>70</v>
      </c>
      <c r="AH44" s="226">
        <f t="shared" si="2"/>
        <v>73.599999999999994</v>
      </c>
      <c r="AI44" s="227">
        <f t="shared" si="3"/>
        <v>70</v>
      </c>
      <c r="AK44" s="228"/>
    </row>
    <row r="45" spans="1:88" x14ac:dyDescent="0.25">
      <c r="A45" s="234" t="s">
        <v>53</v>
      </c>
      <c r="B45" s="245">
        <v>63.9</v>
      </c>
      <c r="C45" s="245">
        <v>63.9</v>
      </c>
      <c r="D45" s="245">
        <v>63.9</v>
      </c>
      <c r="E45" s="245">
        <v>63.9</v>
      </c>
      <c r="F45" s="245">
        <v>63.9</v>
      </c>
      <c r="G45" s="245">
        <v>63.9</v>
      </c>
      <c r="H45" s="245">
        <v>63.9</v>
      </c>
      <c r="I45" s="245"/>
      <c r="J45" s="245">
        <v>63.9</v>
      </c>
      <c r="K45" s="245">
        <v>63.9</v>
      </c>
      <c r="L45" s="245">
        <v>63.9</v>
      </c>
      <c r="M45" s="221">
        <v>63.8</v>
      </c>
      <c r="N45" s="221">
        <v>63.9</v>
      </c>
      <c r="O45" s="221">
        <v>64.2</v>
      </c>
      <c r="P45" s="221">
        <v>64.400000000000006</v>
      </c>
      <c r="Q45" s="221">
        <v>64.5</v>
      </c>
      <c r="R45" s="221">
        <v>64.5</v>
      </c>
      <c r="S45" s="221">
        <v>64.5</v>
      </c>
      <c r="T45" s="221">
        <v>64.5</v>
      </c>
      <c r="U45" s="221">
        <v>64.5</v>
      </c>
      <c r="V45" s="221">
        <v>64.5</v>
      </c>
      <c r="W45" s="221">
        <v>64.5</v>
      </c>
      <c r="X45" s="221">
        <v>64.2</v>
      </c>
      <c r="Y45" s="221">
        <v>64.2</v>
      </c>
      <c r="Z45" s="221">
        <v>64.2</v>
      </c>
      <c r="AA45" s="245">
        <v>64.5</v>
      </c>
      <c r="AB45" s="245">
        <v>64.5</v>
      </c>
      <c r="AC45" s="245">
        <v>64.5</v>
      </c>
      <c r="AD45" s="245">
        <v>64.5</v>
      </c>
      <c r="AE45" s="245">
        <v>64.5</v>
      </c>
      <c r="AF45" s="245">
        <v>64.5</v>
      </c>
      <c r="AG45" s="235">
        <v>69</v>
      </c>
      <c r="AH45" s="226">
        <f t="shared" si="2"/>
        <v>64.5</v>
      </c>
      <c r="AI45" s="227">
        <f t="shared" si="3"/>
        <v>63.8</v>
      </c>
      <c r="AK45" s="228"/>
    </row>
    <row r="46" spans="1:88" x14ac:dyDescent="0.25">
      <c r="A46" s="234" t="s">
        <v>54</v>
      </c>
      <c r="B46" s="237">
        <v>60</v>
      </c>
      <c r="C46" s="237">
        <v>60</v>
      </c>
      <c r="D46" s="237">
        <v>60</v>
      </c>
      <c r="E46" s="237">
        <v>60</v>
      </c>
      <c r="F46" s="237">
        <v>60</v>
      </c>
      <c r="G46" s="237">
        <v>60</v>
      </c>
      <c r="H46" s="237">
        <v>60</v>
      </c>
      <c r="I46" s="237"/>
      <c r="J46" s="237">
        <v>60</v>
      </c>
      <c r="K46" s="237">
        <v>60</v>
      </c>
      <c r="L46" s="237">
        <v>60</v>
      </c>
      <c r="M46" s="221">
        <v>60</v>
      </c>
      <c r="N46" s="221">
        <v>60</v>
      </c>
      <c r="O46" s="221">
        <v>60</v>
      </c>
      <c r="P46" s="221">
        <v>60</v>
      </c>
      <c r="Q46" s="221">
        <v>60</v>
      </c>
      <c r="R46" s="221">
        <v>60</v>
      </c>
      <c r="S46" s="221">
        <v>60</v>
      </c>
      <c r="T46" s="221">
        <v>60</v>
      </c>
      <c r="U46" s="221">
        <v>60</v>
      </c>
      <c r="V46" s="221">
        <v>60</v>
      </c>
      <c r="W46" s="221">
        <v>60</v>
      </c>
      <c r="X46" s="221">
        <v>60</v>
      </c>
      <c r="Y46" s="221">
        <v>60</v>
      </c>
      <c r="Z46" s="221">
        <v>60</v>
      </c>
      <c r="AA46" s="245">
        <v>60.4</v>
      </c>
      <c r="AB46" s="245">
        <v>60.4</v>
      </c>
      <c r="AC46" s="245">
        <v>60.4</v>
      </c>
      <c r="AD46" s="245">
        <v>60.4</v>
      </c>
      <c r="AE46" s="245">
        <v>60.4</v>
      </c>
      <c r="AF46" s="245">
        <v>60.4</v>
      </c>
      <c r="AG46" s="235">
        <v>60</v>
      </c>
      <c r="AH46" s="226">
        <f t="shared" si="2"/>
        <v>60.4</v>
      </c>
      <c r="AI46" s="227">
        <f t="shared" si="3"/>
        <v>60</v>
      </c>
      <c r="AK46" s="228"/>
    </row>
    <row r="47" spans="1:88" x14ac:dyDescent="0.25">
      <c r="A47" s="234" t="s">
        <v>55</v>
      </c>
      <c r="B47" s="237">
        <v>28.3</v>
      </c>
      <c r="C47" s="237">
        <v>28.3</v>
      </c>
      <c r="D47" s="237">
        <v>28.3</v>
      </c>
      <c r="E47" s="237">
        <v>28.3</v>
      </c>
      <c r="F47" s="237">
        <v>28.3</v>
      </c>
      <c r="G47" s="237">
        <v>28.3</v>
      </c>
      <c r="H47" s="237">
        <v>28.3</v>
      </c>
      <c r="I47" s="237"/>
      <c r="J47" s="237">
        <v>28.3</v>
      </c>
      <c r="K47" s="237">
        <v>28.3</v>
      </c>
      <c r="L47" s="237">
        <v>28.3</v>
      </c>
      <c r="M47" s="221">
        <v>28.6</v>
      </c>
      <c r="N47" s="221">
        <v>28.5</v>
      </c>
      <c r="O47" s="221">
        <v>28.6</v>
      </c>
      <c r="P47" s="221">
        <v>28.6</v>
      </c>
      <c r="Q47" s="221">
        <v>28.4</v>
      </c>
      <c r="R47" s="221">
        <v>28.4</v>
      </c>
      <c r="S47" s="221">
        <v>28.4</v>
      </c>
      <c r="T47" s="221">
        <v>28.4</v>
      </c>
      <c r="U47" s="221">
        <v>28.4</v>
      </c>
      <c r="V47" s="221">
        <v>28.4</v>
      </c>
      <c r="W47" s="221">
        <v>28.4</v>
      </c>
      <c r="X47" s="221">
        <v>28.4</v>
      </c>
      <c r="Y47" s="221">
        <v>28.4</v>
      </c>
      <c r="Z47" s="221">
        <v>28.4</v>
      </c>
      <c r="AA47" s="245">
        <v>28.3</v>
      </c>
      <c r="AB47" s="245">
        <v>28.3</v>
      </c>
      <c r="AC47" s="245">
        <v>28.3</v>
      </c>
      <c r="AD47" s="245">
        <v>28.3</v>
      </c>
      <c r="AE47" s="245">
        <v>28.3</v>
      </c>
      <c r="AF47" s="245">
        <v>28.3</v>
      </c>
      <c r="AG47" s="235">
        <v>30</v>
      </c>
      <c r="AH47" s="226">
        <f t="shared" si="2"/>
        <v>28.6</v>
      </c>
      <c r="AI47" s="227">
        <f t="shared" si="3"/>
        <v>28.3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37"/>
      <c r="J48" s="237">
        <v>0</v>
      </c>
      <c r="K48" s="237">
        <v>0</v>
      </c>
      <c r="L48" s="237">
        <v>0</v>
      </c>
      <c r="M48" s="221">
        <v>0</v>
      </c>
      <c r="N48" s="221">
        <v>4</v>
      </c>
      <c r="O48" s="221">
        <v>5</v>
      </c>
      <c r="P48" s="221">
        <v>7</v>
      </c>
      <c r="Q48" s="221">
        <v>7</v>
      </c>
      <c r="R48" s="221">
        <v>7</v>
      </c>
      <c r="S48" s="221">
        <v>7</v>
      </c>
      <c r="T48" s="221">
        <v>7</v>
      </c>
      <c r="U48" s="221">
        <v>7</v>
      </c>
      <c r="V48" s="221">
        <v>7</v>
      </c>
      <c r="W48" s="221">
        <v>7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7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16.5</v>
      </c>
      <c r="C49" s="245">
        <v>16.5</v>
      </c>
      <c r="D49" s="245">
        <v>16.5</v>
      </c>
      <c r="E49" s="245">
        <v>16.5</v>
      </c>
      <c r="F49" s="245">
        <v>16.5</v>
      </c>
      <c r="G49" s="245">
        <v>16.5</v>
      </c>
      <c r="H49" s="245">
        <v>16.5</v>
      </c>
      <c r="I49" s="245"/>
      <c r="J49" s="245">
        <v>16.5</v>
      </c>
      <c r="K49" s="245">
        <v>16.5</v>
      </c>
      <c r="L49" s="245">
        <v>16.5</v>
      </c>
      <c r="M49" s="221">
        <v>16.5</v>
      </c>
      <c r="N49" s="221">
        <v>16.8</v>
      </c>
      <c r="O49" s="221">
        <v>17.5</v>
      </c>
      <c r="P49" s="221">
        <v>17.5</v>
      </c>
      <c r="Q49" s="221">
        <v>16.899999999999999</v>
      </c>
      <c r="R49" s="221">
        <v>14.6</v>
      </c>
      <c r="S49" s="221">
        <v>14.6</v>
      </c>
      <c r="T49" s="221">
        <v>14.6</v>
      </c>
      <c r="U49" s="221">
        <v>14.6</v>
      </c>
      <c r="V49" s="221">
        <v>14.6</v>
      </c>
      <c r="W49" s="221">
        <v>14.6</v>
      </c>
      <c r="X49" s="221">
        <v>14.6</v>
      </c>
      <c r="Y49" s="221">
        <v>14.6</v>
      </c>
      <c r="Z49" s="221">
        <v>14.6</v>
      </c>
      <c r="AA49" s="221">
        <v>17.2</v>
      </c>
      <c r="AB49" s="221">
        <v>17.2</v>
      </c>
      <c r="AC49" s="221">
        <v>17.2</v>
      </c>
      <c r="AD49" s="221">
        <v>17.2</v>
      </c>
      <c r="AE49" s="221">
        <v>17.2</v>
      </c>
      <c r="AF49" s="221">
        <v>17.2</v>
      </c>
      <c r="AG49" s="235">
        <v>24</v>
      </c>
      <c r="AH49" s="226">
        <f t="shared" si="2"/>
        <v>17.5</v>
      </c>
      <c r="AI49" s="227">
        <f t="shared" si="3"/>
        <v>14.6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/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12.9</v>
      </c>
      <c r="C51" s="245">
        <v>12.9</v>
      </c>
      <c r="D51" s="245">
        <v>12.9</v>
      </c>
      <c r="E51" s="245">
        <v>12.9</v>
      </c>
      <c r="F51" s="245">
        <v>12.9</v>
      </c>
      <c r="G51" s="245">
        <v>12.9</v>
      </c>
      <c r="H51" s="245">
        <v>12.9</v>
      </c>
      <c r="I51" s="245"/>
      <c r="J51" s="245">
        <v>12.9</v>
      </c>
      <c r="K51" s="245">
        <v>12.9</v>
      </c>
      <c r="L51" s="245">
        <v>12.9</v>
      </c>
      <c r="M51" s="221">
        <v>12.9</v>
      </c>
      <c r="N51" s="221">
        <v>12.9</v>
      </c>
      <c r="O51" s="221">
        <v>12.9</v>
      </c>
      <c r="P51" s="221">
        <v>12.9</v>
      </c>
      <c r="Q51" s="221">
        <v>12.9</v>
      </c>
      <c r="R51" s="221">
        <v>12.9</v>
      </c>
      <c r="S51" s="221">
        <v>12.9</v>
      </c>
      <c r="T51" s="221">
        <v>12.9</v>
      </c>
      <c r="U51" s="221">
        <v>12.9</v>
      </c>
      <c r="V51" s="221">
        <v>12.9</v>
      </c>
      <c r="W51" s="221">
        <v>12.9</v>
      </c>
      <c r="X51" s="221">
        <v>12.9</v>
      </c>
      <c r="Y51" s="221">
        <v>12.9</v>
      </c>
      <c r="Z51" s="221">
        <v>12.9</v>
      </c>
      <c r="AA51" s="221">
        <v>13.1</v>
      </c>
      <c r="AB51" s="221">
        <v>13.1</v>
      </c>
      <c r="AC51" s="221">
        <v>13.1</v>
      </c>
      <c r="AD51" s="221">
        <v>13.1</v>
      </c>
      <c r="AE51" s="221">
        <v>13.1</v>
      </c>
      <c r="AF51" s="221">
        <v>13.1</v>
      </c>
      <c r="AG51" s="235">
        <v>14.1</v>
      </c>
      <c r="AH51" s="226">
        <f t="shared" si="2"/>
        <v>13.1</v>
      </c>
      <c r="AI51" s="227">
        <f t="shared" si="3"/>
        <v>12.9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4</v>
      </c>
      <c r="F52" s="245">
        <v>14</v>
      </c>
      <c r="G52" s="245">
        <v>14</v>
      </c>
      <c r="H52" s="245">
        <v>14</v>
      </c>
      <c r="I52" s="245"/>
      <c r="J52" s="245">
        <v>14</v>
      </c>
      <c r="K52" s="245">
        <v>14</v>
      </c>
      <c r="L52" s="245">
        <v>14</v>
      </c>
      <c r="M52" s="221">
        <v>14</v>
      </c>
      <c r="N52" s="221">
        <v>14</v>
      </c>
      <c r="O52" s="221">
        <v>14</v>
      </c>
      <c r="P52" s="221">
        <v>14</v>
      </c>
      <c r="Q52" s="221">
        <v>14</v>
      </c>
      <c r="R52" s="221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</v>
      </c>
      <c r="AI52" s="227">
        <f t="shared" si="3"/>
        <v>4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/>
      <c r="J53" s="245">
        <v>10</v>
      </c>
      <c r="K53" s="245">
        <v>10</v>
      </c>
      <c r="L53" s="245">
        <v>10</v>
      </c>
      <c r="M53" s="221">
        <v>10</v>
      </c>
      <c r="N53" s="221">
        <v>10</v>
      </c>
      <c r="O53" s="221">
        <v>10</v>
      </c>
      <c r="P53" s="221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/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431.64</v>
      </c>
      <c r="C56" s="241">
        <f t="shared" ref="C56:AG56" si="7">SUM(C43:C55)</f>
        <v>431.64</v>
      </c>
      <c r="D56" s="241">
        <f t="shared" si="7"/>
        <v>431.64</v>
      </c>
      <c r="E56" s="241">
        <f t="shared" si="7"/>
        <v>421.64</v>
      </c>
      <c r="F56" s="241">
        <f t="shared" si="7"/>
        <v>431.64</v>
      </c>
      <c r="G56" s="241">
        <f t="shared" si="7"/>
        <v>431.64</v>
      </c>
      <c r="H56" s="241">
        <f t="shared" si="7"/>
        <v>431.64</v>
      </c>
      <c r="I56" s="241">
        <f t="shared" si="7"/>
        <v>3.54</v>
      </c>
      <c r="J56" s="241">
        <f t="shared" si="7"/>
        <v>431.64</v>
      </c>
      <c r="K56" s="241">
        <f t="shared" si="7"/>
        <v>431.64</v>
      </c>
      <c r="L56" s="241">
        <f t="shared" si="7"/>
        <v>431.64</v>
      </c>
      <c r="M56" s="241">
        <f t="shared" si="7"/>
        <v>435.14</v>
      </c>
      <c r="N56" s="241">
        <f t="shared" si="7"/>
        <v>437.94</v>
      </c>
      <c r="O56" s="241">
        <f t="shared" si="7"/>
        <v>440.54</v>
      </c>
      <c r="P56" s="241">
        <f t="shared" si="7"/>
        <v>444.03999999999996</v>
      </c>
      <c r="Q56" s="241">
        <f t="shared" si="7"/>
        <v>440.83999999999992</v>
      </c>
      <c r="R56" s="241">
        <f t="shared" si="7"/>
        <v>438.24</v>
      </c>
      <c r="S56" s="241">
        <f t="shared" si="7"/>
        <v>438.24</v>
      </c>
      <c r="T56" s="241">
        <f t="shared" si="7"/>
        <v>438.24</v>
      </c>
      <c r="U56" s="241">
        <f t="shared" si="7"/>
        <v>438.24</v>
      </c>
      <c r="V56" s="241">
        <f t="shared" si="7"/>
        <v>438.24</v>
      </c>
      <c r="W56" s="241">
        <f t="shared" si="7"/>
        <v>438.24</v>
      </c>
      <c r="X56" s="241">
        <f t="shared" si="7"/>
        <v>431.24</v>
      </c>
      <c r="Y56" s="241">
        <f t="shared" si="7"/>
        <v>431.24</v>
      </c>
      <c r="Z56" s="241">
        <f t="shared" si="7"/>
        <v>431.24</v>
      </c>
      <c r="AA56" s="241">
        <f t="shared" si="7"/>
        <v>436.04</v>
      </c>
      <c r="AB56" s="241">
        <f t="shared" si="7"/>
        <v>436.04</v>
      </c>
      <c r="AC56" s="241">
        <f t="shared" si="7"/>
        <v>436.04</v>
      </c>
      <c r="AD56" s="241">
        <f t="shared" si="7"/>
        <v>436.04</v>
      </c>
      <c r="AE56" s="241">
        <f t="shared" si="7"/>
        <v>436.04</v>
      </c>
      <c r="AF56" s="241">
        <f t="shared" si="7"/>
        <v>436.04</v>
      </c>
      <c r="AG56" s="242">
        <f t="shared" si="7"/>
        <v>489.91</v>
      </c>
      <c r="AH56" s="226">
        <f t="shared" si="2"/>
        <v>444.03999999999996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/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49</v>
      </c>
      <c r="AA57" s="221">
        <v>59.6</v>
      </c>
      <c r="AB57" s="221">
        <v>29.5</v>
      </c>
      <c r="AC57" s="221">
        <v>20.7</v>
      </c>
      <c r="AD57" s="221">
        <v>25</v>
      </c>
      <c r="AE57" s="221">
        <v>20</v>
      </c>
      <c r="AF57" s="221">
        <v>0</v>
      </c>
      <c r="AG57" s="230">
        <v>60</v>
      </c>
      <c r="AH57" s="226">
        <f t="shared" si="2"/>
        <v>59.6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/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15</v>
      </c>
      <c r="AA58" s="245">
        <v>29.5</v>
      </c>
      <c r="AB58" s="245">
        <v>15.4</v>
      </c>
      <c r="AC58" s="245">
        <v>9.6</v>
      </c>
      <c r="AD58" s="245">
        <v>14.1</v>
      </c>
      <c r="AE58" s="245">
        <v>9.5</v>
      </c>
      <c r="AF58" s="245">
        <v>0</v>
      </c>
      <c r="AG58" s="235">
        <v>32</v>
      </c>
      <c r="AH58" s="226">
        <f t="shared" si="2"/>
        <v>29.5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/>
      <c r="J59" s="247">
        <v>5</v>
      </c>
      <c r="K59" s="247">
        <v>5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6</v>
      </c>
      <c r="AA59" s="247">
        <v>12</v>
      </c>
      <c r="AB59" s="247">
        <v>5.6</v>
      </c>
      <c r="AC59" s="247">
        <v>3.5</v>
      </c>
      <c r="AD59" s="247">
        <v>5.0999999999999996</v>
      </c>
      <c r="AE59" s="247">
        <v>3.5</v>
      </c>
      <c r="AF59" s="247">
        <v>0</v>
      </c>
      <c r="AG59" s="248">
        <v>14</v>
      </c>
      <c r="AH59" s="226">
        <f t="shared" si="2"/>
        <v>12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8">SUM(C57:C59)</f>
        <v>0</v>
      </c>
      <c r="D60" s="241">
        <f t="shared" si="8"/>
        <v>0</v>
      </c>
      <c r="E60" s="241">
        <f t="shared" si="8"/>
        <v>0</v>
      </c>
      <c r="F60" s="241">
        <f t="shared" si="8"/>
        <v>0</v>
      </c>
      <c r="G60" s="241">
        <f t="shared" si="8"/>
        <v>0</v>
      </c>
      <c r="H60" s="241">
        <f t="shared" si="8"/>
        <v>0</v>
      </c>
      <c r="I60" s="241">
        <f t="shared" si="8"/>
        <v>0</v>
      </c>
      <c r="J60" s="241">
        <f t="shared" si="8"/>
        <v>5</v>
      </c>
      <c r="K60" s="241">
        <f t="shared" si="8"/>
        <v>5</v>
      </c>
      <c r="L60" s="241">
        <f t="shared" si="8"/>
        <v>0</v>
      </c>
      <c r="M60" s="241">
        <f t="shared" si="8"/>
        <v>0</v>
      </c>
      <c r="N60" s="241">
        <f t="shared" si="8"/>
        <v>0</v>
      </c>
      <c r="O60" s="241">
        <f t="shared" si="8"/>
        <v>0</v>
      </c>
      <c r="P60" s="241">
        <f t="shared" si="8"/>
        <v>0</v>
      </c>
      <c r="Q60" s="241">
        <f t="shared" si="8"/>
        <v>0</v>
      </c>
      <c r="R60" s="241">
        <f t="shared" si="8"/>
        <v>0</v>
      </c>
      <c r="S60" s="241">
        <f t="shared" si="8"/>
        <v>0</v>
      </c>
      <c r="T60" s="241">
        <f t="shared" si="8"/>
        <v>0</v>
      </c>
      <c r="U60" s="241">
        <f t="shared" si="8"/>
        <v>0</v>
      </c>
      <c r="V60" s="241">
        <f t="shared" si="8"/>
        <v>0</v>
      </c>
      <c r="W60" s="241">
        <f t="shared" si="8"/>
        <v>0</v>
      </c>
      <c r="X60" s="241">
        <f t="shared" si="8"/>
        <v>0</v>
      </c>
      <c r="Y60" s="241">
        <f t="shared" si="8"/>
        <v>0</v>
      </c>
      <c r="Z60" s="241">
        <f t="shared" si="8"/>
        <v>70</v>
      </c>
      <c r="AA60" s="241">
        <f t="shared" si="8"/>
        <v>101.1</v>
      </c>
      <c r="AB60" s="241">
        <f t="shared" si="8"/>
        <v>50.5</v>
      </c>
      <c r="AC60" s="241">
        <f t="shared" si="8"/>
        <v>33.799999999999997</v>
      </c>
      <c r="AD60" s="241">
        <f t="shared" si="8"/>
        <v>44.2</v>
      </c>
      <c r="AE60" s="241">
        <f t="shared" si="8"/>
        <v>33</v>
      </c>
      <c r="AF60" s="241">
        <f t="shared" si="8"/>
        <v>0</v>
      </c>
      <c r="AG60" s="242">
        <f t="shared" si="8"/>
        <v>106</v>
      </c>
      <c r="AH60" s="226">
        <f t="shared" si="2"/>
        <v>101.1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60.7</v>
      </c>
      <c r="C61" s="221">
        <v>20</v>
      </c>
      <c r="D61" s="221">
        <v>18</v>
      </c>
      <c r="E61" s="221">
        <v>16.100000000000001</v>
      </c>
      <c r="F61" s="221">
        <v>0</v>
      </c>
      <c r="G61" s="221">
        <v>5.7</v>
      </c>
      <c r="H61" s="221">
        <v>4.2</v>
      </c>
      <c r="I61" s="221"/>
      <c r="J61" s="221">
        <v>16</v>
      </c>
      <c r="K61" s="221">
        <v>8.9</v>
      </c>
      <c r="L61" s="221">
        <v>33</v>
      </c>
      <c r="M61" s="221">
        <v>40.4</v>
      </c>
      <c r="N61" s="221">
        <v>53.2</v>
      </c>
      <c r="O61" s="221">
        <v>51.8</v>
      </c>
      <c r="P61" s="221">
        <v>61.8</v>
      </c>
      <c r="Q61" s="221">
        <v>65.3</v>
      </c>
      <c r="R61" s="221">
        <v>61.5</v>
      </c>
      <c r="S61" s="221">
        <v>70</v>
      </c>
      <c r="T61" s="221">
        <v>71</v>
      </c>
      <c r="U61" s="221">
        <v>66</v>
      </c>
      <c r="V61" s="221">
        <v>63</v>
      </c>
      <c r="W61" s="221">
        <v>54</v>
      </c>
      <c r="X61" s="221">
        <v>52</v>
      </c>
      <c r="Y61" s="221">
        <v>55</v>
      </c>
      <c r="Z61" s="221">
        <v>57</v>
      </c>
      <c r="AA61" s="221">
        <v>69</v>
      </c>
      <c r="AB61" s="221">
        <v>65.400000000000006</v>
      </c>
      <c r="AC61" s="221">
        <v>73</v>
      </c>
      <c r="AD61" s="221">
        <v>74</v>
      </c>
      <c r="AE61" s="221">
        <v>68.2</v>
      </c>
      <c r="AF61" s="221">
        <v>69.8</v>
      </c>
      <c r="AG61" s="230"/>
      <c r="AH61" s="226">
        <f t="shared" si="2"/>
        <v>74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/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-305</v>
      </c>
      <c r="C63" s="245">
        <v>-325</v>
      </c>
      <c r="D63" s="245">
        <v>-345</v>
      </c>
      <c r="E63" s="245">
        <v>-352</v>
      </c>
      <c r="F63" s="245">
        <v>-292</v>
      </c>
      <c r="G63" s="245">
        <v>-367</v>
      </c>
      <c r="H63" s="245">
        <v>-374</v>
      </c>
      <c r="I63" s="245"/>
      <c r="J63" s="245">
        <v>-420</v>
      </c>
      <c r="K63" s="245">
        <v>-383</v>
      </c>
      <c r="L63" s="245">
        <v>-330</v>
      </c>
      <c r="M63" s="245">
        <v>-280</v>
      </c>
      <c r="N63" s="245">
        <v>-245.5</v>
      </c>
      <c r="O63" s="245">
        <v>-200.1</v>
      </c>
      <c r="P63" s="245">
        <v>-243</v>
      </c>
      <c r="Q63" s="245">
        <v>-288</v>
      </c>
      <c r="R63" s="245">
        <v>-290</v>
      </c>
      <c r="S63" s="245">
        <v>-256</v>
      </c>
      <c r="T63" s="245">
        <v>-256</v>
      </c>
      <c r="U63" s="245">
        <v>-245</v>
      </c>
      <c r="V63" s="245">
        <v>-230</v>
      </c>
      <c r="W63" s="245">
        <v>-280</v>
      </c>
      <c r="X63" s="245">
        <v>-290</v>
      </c>
      <c r="Y63" s="245">
        <v>-274</v>
      </c>
      <c r="Z63" s="245">
        <v>-162</v>
      </c>
      <c r="AA63" s="245">
        <v>-200</v>
      </c>
      <c r="AB63" s="245">
        <v>-204</v>
      </c>
      <c r="AC63" s="245">
        <v>-220</v>
      </c>
      <c r="AD63" s="245">
        <v>-248.2</v>
      </c>
      <c r="AE63" s="245">
        <v>-283</v>
      </c>
      <c r="AF63" s="245">
        <v>-342</v>
      </c>
      <c r="AG63" s="255"/>
      <c r="AH63" s="226">
        <f t="shared" si="2"/>
        <v>-162</v>
      </c>
      <c r="AI63" s="227">
        <f t="shared" si="3"/>
        <v>-420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/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/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6</v>
      </c>
      <c r="C66" s="257">
        <v>6</v>
      </c>
      <c r="D66" s="257">
        <v>6</v>
      </c>
      <c r="E66" s="257">
        <v>6</v>
      </c>
      <c r="F66" s="257">
        <v>6</v>
      </c>
      <c r="G66" s="257">
        <v>6</v>
      </c>
      <c r="H66" s="257">
        <v>6</v>
      </c>
      <c r="I66" s="257"/>
      <c r="J66" s="257">
        <v>6</v>
      </c>
      <c r="K66" s="257">
        <v>0</v>
      </c>
      <c r="L66" s="257">
        <v>0</v>
      </c>
      <c r="M66" s="257">
        <v>0</v>
      </c>
      <c r="N66" s="257">
        <v>0</v>
      </c>
      <c r="O66" s="257">
        <v>4</v>
      </c>
      <c r="P66" s="257">
        <v>5</v>
      </c>
      <c r="Q66" s="257">
        <v>5</v>
      </c>
      <c r="R66" s="257">
        <v>5</v>
      </c>
      <c r="S66" s="257">
        <v>5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>
        <v>6</v>
      </c>
      <c r="AA66" s="257">
        <v>6</v>
      </c>
      <c r="AB66" s="257">
        <v>6</v>
      </c>
      <c r="AC66" s="257">
        <v>6</v>
      </c>
      <c r="AD66" s="257">
        <v>6</v>
      </c>
      <c r="AE66" s="257">
        <v>6</v>
      </c>
      <c r="AF66" s="257">
        <v>6</v>
      </c>
      <c r="AG66" s="255"/>
      <c r="AH66" s="226">
        <f t="shared" si="2"/>
        <v>6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/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/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/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/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/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66.7</v>
      </c>
      <c r="C72" s="241">
        <f t="shared" ref="C72:L72" si="9">SUMIF(C61:C71,"&gt;0")</f>
        <v>26</v>
      </c>
      <c r="D72" s="241">
        <f t="shared" si="9"/>
        <v>24</v>
      </c>
      <c r="E72" s="241">
        <f t="shared" si="9"/>
        <v>22.1</v>
      </c>
      <c r="F72" s="241">
        <f t="shared" si="9"/>
        <v>6</v>
      </c>
      <c r="G72" s="241">
        <f t="shared" si="9"/>
        <v>11.7</v>
      </c>
      <c r="H72" s="241">
        <f t="shared" si="9"/>
        <v>10.199999999999999</v>
      </c>
      <c r="I72" s="241">
        <f t="shared" si="9"/>
        <v>0</v>
      </c>
      <c r="J72" s="241">
        <f t="shared" si="9"/>
        <v>22</v>
      </c>
      <c r="K72" s="241">
        <f t="shared" si="9"/>
        <v>8.9</v>
      </c>
      <c r="L72" s="241">
        <f t="shared" si="9"/>
        <v>33</v>
      </c>
      <c r="M72" s="241">
        <f>SUMIF(M61:M71,"&gt;0")</f>
        <v>40.4</v>
      </c>
      <c r="N72" s="241">
        <f t="shared" ref="N72:AF72" si="10">SUMIF(N61:N71,"&gt;0")</f>
        <v>53.2</v>
      </c>
      <c r="O72" s="241">
        <f t="shared" si="10"/>
        <v>55.8</v>
      </c>
      <c r="P72" s="241">
        <f t="shared" si="10"/>
        <v>66.8</v>
      </c>
      <c r="Q72" s="241">
        <f t="shared" si="10"/>
        <v>70.3</v>
      </c>
      <c r="R72" s="241">
        <f t="shared" si="10"/>
        <v>66.5</v>
      </c>
      <c r="S72" s="241">
        <f t="shared" si="10"/>
        <v>75</v>
      </c>
      <c r="T72" s="241">
        <f t="shared" si="10"/>
        <v>76</v>
      </c>
      <c r="U72" s="241">
        <f t="shared" si="10"/>
        <v>71</v>
      </c>
      <c r="V72" s="241">
        <f t="shared" si="10"/>
        <v>68</v>
      </c>
      <c r="W72" s="241">
        <f t="shared" si="10"/>
        <v>59</v>
      </c>
      <c r="X72" s="241">
        <f t="shared" si="10"/>
        <v>57</v>
      </c>
      <c r="Y72" s="241">
        <f t="shared" si="10"/>
        <v>60</v>
      </c>
      <c r="Z72" s="241">
        <f t="shared" si="10"/>
        <v>63</v>
      </c>
      <c r="AA72" s="241">
        <f t="shared" si="10"/>
        <v>75</v>
      </c>
      <c r="AB72" s="241">
        <f t="shared" si="10"/>
        <v>71.400000000000006</v>
      </c>
      <c r="AC72" s="241">
        <f t="shared" si="10"/>
        <v>79</v>
      </c>
      <c r="AD72" s="241">
        <f t="shared" si="10"/>
        <v>80</v>
      </c>
      <c r="AE72" s="241">
        <f t="shared" si="10"/>
        <v>74.2</v>
      </c>
      <c r="AF72" s="241">
        <f t="shared" si="10"/>
        <v>75.8</v>
      </c>
      <c r="AG72" s="261">
        <f>SUM(AG61:AG71)</f>
        <v>0</v>
      </c>
      <c r="AH72" s="226">
        <f t="shared" si="2"/>
        <v>80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/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/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/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1823.5399999999997</v>
      </c>
      <c r="C77" s="263">
        <f t="shared" ref="C77:AF77" si="11">C38+C42+C60+C56+C72+C76</f>
        <v>1799.8399999999997</v>
      </c>
      <c r="D77" s="263">
        <f t="shared" si="11"/>
        <v>1796.8399999999997</v>
      </c>
      <c r="E77" s="263">
        <f t="shared" si="11"/>
        <v>1795.9399999999996</v>
      </c>
      <c r="F77" s="263">
        <f t="shared" si="11"/>
        <v>1697.8399999999997</v>
      </c>
      <c r="G77" s="263">
        <f t="shared" si="11"/>
        <v>1789.5399999999997</v>
      </c>
      <c r="H77" s="263">
        <f t="shared" si="11"/>
        <v>1804.0399999999997</v>
      </c>
      <c r="I77" s="263">
        <f t="shared" si="11"/>
        <v>3.54</v>
      </c>
      <c r="J77" s="263">
        <f t="shared" si="11"/>
        <v>1810.8399999999997</v>
      </c>
      <c r="K77" s="263">
        <f t="shared" si="11"/>
        <v>1799.04</v>
      </c>
      <c r="L77" s="263">
        <f t="shared" si="11"/>
        <v>1745.1399999999999</v>
      </c>
      <c r="M77" s="263">
        <f t="shared" si="11"/>
        <v>1762.2399999999998</v>
      </c>
      <c r="N77" s="263">
        <f t="shared" si="11"/>
        <v>1770.34</v>
      </c>
      <c r="O77" s="263">
        <f t="shared" si="11"/>
        <v>1772.5399999999997</v>
      </c>
      <c r="P77" s="263">
        <f t="shared" si="11"/>
        <v>1863.0399999999997</v>
      </c>
      <c r="Q77" s="263">
        <f t="shared" si="11"/>
        <v>1863.1399999999999</v>
      </c>
      <c r="R77" s="263">
        <f t="shared" si="11"/>
        <v>1828.84</v>
      </c>
      <c r="S77" s="263">
        <f t="shared" si="11"/>
        <v>1865.34</v>
      </c>
      <c r="T77" s="263">
        <f t="shared" si="11"/>
        <v>1866.34</v>
      </c>
      <c r="U77" s="263">
        <f t="shared" si="11"/>
        <v>1842.34</v>
      </c>
      <c r="V77" s="263">
        <f t="shared" si="11"/>
        <v>1849.34</v>
      </c>
      <c r="W77" s="263">
        <f t="shared" si="11"/>
        <v>1840.34</v>
      </c>
      <c r="X77" s="263">
        <f t="shared" si="11"/>
        <v>1838.34</v>
      </c>
      <c r="Y77" s="263">
        <f t="shared" si="11"/>
        <v>1841.34</v>
      </c>
      <c r="Z77" s="263">
        <f t="shared" si="11"/>
        <v>1914.34</v>
      </c>
      <c r="AA77" s="263">
        <f t="shared" si="11"/>
        <v>1976.2399999999998</v>
      </c>
      <c r="AB77" s="263">
        <f t="shared" si="11"/>
        <v>1939.8400000000001</v>
      </c>
      <c r="AC77" s="263">
        <f t="shared" si="11"/>
        <v>1930.9399999999998</v>
      </c>
      <c r="AD77" s="263">
        <f t="shared" si="11"/>
        <v>1934.34</v>
      </c>
      <c r="AE77" s="263">
        <f t="shared" si="11"/>
        <v>1917.34</v>
      </c>
      <c r="AF77" s="263">
        <f t="shared" si="11"/>
        <v>1879.9399999999998</v>
      </c>
      <c r="AG77" s="242">
        <f>AG38+AG42+AG60+AG56+AG72+AG76</f>
        <v>1855.1900000000003</v>
      </c>
      <c r="AH77" s="226">
        <f t="shared" si="2"/>
        <v>1976.2399999999998</v>
      </c>
      <c r="AI77" s="227">
        <f t="shared" si="3"/>
        <v>3.54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>
        <v>10</v>
      </c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10</v>
      </c>
      <c r="AI78" s="227">
        <f t="shared" si="3"/>
        <v>10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1823.5399999999997</v>
      </c>
      <c r="C79" s="263">
        <f t="shared" ref="C79:AF79" si="12">C77+C78</f>
        <v>1799.8399999999997</v>
      </c>
      <c r="D79" s="263">
        <f t="shared" si="12"/>
        <v>1796.8399999999997</v>
      </c>
      <c r="E79" s="263">
        <f t="shared" si="12"/>
        <v>1795.9399999999996</v>
      </c>
      <c r="F79" s="263">
        <f t="shared" si="12"/>
        <v>1697.8399999999997</v>
      </c>
      <c r="G79" s="263">
        <f t="shared" si="12"/>
        <v>1789.5399999999997</v>
      </c>
      <c r="H79" s="263">
        <f t="shared" si="12"/>
        <v>1804.0399999999997</v>
      </c>
      <c r="I79" s="263">
        <f t="shared" si="12"/>
        <v>3.54</v>
      </c>
      <c r="J79" s="263">
        <f t="shared" si="12"/>
        <v>1810.8399999999997</v>
      </c>
      <c r="K79" s="263">
        <f t="shared" si="12"/>
        <v>1799.04</v>
      </c>
      <c r="L79" s="263">
        <f t="shared" si="12"/>
        <v>1745.1399999999999</v>
      </c>
      <c r="M79" s="263">
        <f t="shared" si="12"/>
        <v>1762.2399999999998</v>
      </c>
      <c r="N79" s="263">
        <f t="shared" si="12"/>
        <v>1770.34</v>
      </c>
      <c r="O79" s="263">
        <f t="shared" si="12"/>
        <v>1772.5399999999997</v>
      </c>
      <c r="P79" s="263">
        <f t="shared" si="12"/>
        <v>1863.0399999999997</v>
      </c>
      <c r="Q79" s="263">
        <f t="shared" si="12"/>
        <v>1863.1399999999999</v>
      </c>
      <c r="R79" s="263">
        <f t="shared" si="12"/>
        <v>1838.84</v>
      </c>
      <c r="S79" s="263">
        <f t="shared" si="12"/>
        <v>1865.34</v>
      </c>
      <c r="T79" s="263">
        <f t="shared" si="12"/>
        <v>1866.34</v>
      </c>
      <c r="U79" s="263">
        <f t="shared" si="12"/>
        <v>1842.34</v>
      </c>
      <c r="V79" s="263">
        <f t="shared" si="12"/>
        <v>1849.34</v>
      </c>
      <c r="W79" s="263">
        <f t="shared" si="12"/>
        <v>1840.34</v>
      </c>
      <c r="X79" s="263">
        <f t="shared" si="12"/>
        <v>1838.34</v>
      </c>
      <c r="Y79" s="263">
        <f t="shared" si="12"/>
        <v>1841.34</v>
      </c>
      <c r="Z79" s="263">
        <f t="shared" si="12"/>
        <v>1914.34</v>
      </c>
      <c r="AA79" s="263">
        <f t="shared" si="12"/>
        <v>1976.2399999999998</v>
      </c>
      <c r="AB79" s="263">
        <f t="shared" si="12"/>
        <v>1939.8400000000001</v>
      </c>
      <c r="AC79" s="263">
        <f t="shared" si="12"/>
        <v>1930.9399999999998</v>
      </c>
      <c r="AD79" s="263">
        <f t="shared" si="12"/>
        <v>1934.34</v>
      </c>
      <c r="AE79" s="263">
        <f t="shared" si="12"/>
        <v>1917.34</v>
      </c>
      <c r="AF79" s="263">
        <f t="shared" si="12"/>
        <v>1879.9399999999998</v>
      </c>
      <c r="AG79" s="261">
        <f>AG76+AG72+AG60+AG56+AG38+AG78</f>
        <v>1317.0900000000001</v>
      </c>
      <c r="AH79" s="226">
        <f t="shared" si="2"/>
        <v>1976.2399999999998</v>
      </c>
      <c r="AI79" s="227">
        <f t="shared" si="3"/>
        <v>3.54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3">B79-B87</f>
        <v>1518.5399999999997</v>
      </c>
      <c r="C80" s="263">
        <f t="shared" si="13"/>
        <v>1474.8399999999997</v>
      </c>
      <c r="D80" s="263">
        <f t="shared" si="13"/>
        <v>1451.8399999999997</v>
      </c>
      <c r="E80" s="263">
        <f t="shared" si="13"/>
        <v>1443.9399999999996</v>
      </c>
      <c r="F80" s="263">
        <f t="shared" si="13"/>
        <v>1405.8399999999997</v>
      </c>
      <c r="G80" s="263">
        <f t="shared" si="13"/>
        <v>1422.5399999999997</v>
      </c>
      <c r="H80" s="263">
        <f t="shared" si="13"/>
        <v>1430.0399999999997</v>
      </c>
      <c r="I80" s="263">
        <f t="shared" si="13"/>
        <v>3.54</v>
      </c>
      <c r="J80" s="263">
        <f t="shared" si="13"/>
        <v>1390.8399999999997</v>
      </c>
      <c r="K80" s="263">
        <f t="shared" si="13"/>
        <v>1416.04</v>
      </c>
      <c r="L80" s="263">
        <f t="shared" si="13"/>
        <v>1415.1399999999999</v>
      </c>
      <c r="M80" s="263">
        <f t="shared" si="13"/>
        <v>1482.2399999999998</v>
      </c>
      <c r="N80" s="263">
        <f t="shared" si="13"/>
        <v>1524.84</v>
      </c>
      <c r="O80" s="263">
        <f t="shared" si="13"/>
        <v>1572.4399999999998</v>
      </c>
      <c r="P80" s="263">
        <f t="shared" si="13"/>
        <v>1620.0399999999997</v>
      </c>
      <c r="Q80" s="263">
        <f t="shared" si="13"/>
        <v>1575.1399999999999</v>
      </c>
      <c r="R80" s="263">
        <f t="shared" si="13"/>
        <v>1548.84</v>
      </c>
      <c r="S80" s="263">
        <f t="shared" si="13"/>
        <v>1609.34</v>
      </c>
      <c r="T80" s="263">
        <f t="shared" si="13"/>
        <v>1610.34</v>
      </c>
      <c r="U80" s="263">
        <f t="shared" si="13"/>
        <v>1597.34</v>
      </c>
      <c r="V80" s="263">
        <f t="shared" si="13"/>
        <v>1619.34</v>
      </c>
      <c r="W80" s="263">
        <f t="shared" si="13"/>
        <v>1560.34</v>
      </c>
      <c r="X80" s="263">
        <f t="shared" si="13"/>
        <v>1548.34</v>
      </c>
      <c r="Y80" s="263">
        <f t="shared" si="13"/>
        <v>1567.34</v>
      </c>
      <c r="Z80" s="263">
        <f t="shared" si="13"/>
        <v>1752.34</v>
      </c>
      <c r="AA80" s="263">
        <f t="shared" si="13"/>
        <v>1776.2399999999998</v>
      </c>
      <c r="AB80" s="263">
        <f t="shared" si="13"/>
        <v>1735.8400000000001</v>
      </c>
      <c r="AC80" s="263">
        <f t="shared" si="13"/>
        <v>1710.9399999999998</v>
      </c>
      <c r="AD80" s="263">
        <f t="shared" si="13"/>
        <v>1686.1399999999999</v>
      </c>
      <c r="AE80" s="263">
        <f t="shared" si="13"/>
        <v>1634.34</v>
      </c>
      <c r="AF80" s="263">
        <f t="shared" si="13"/>
        <v>1537.9399999999998</v>
      </c>
      <c r="AG80" s="261"/>
      <c r="AH80" s="226">
        <f t="shared" ref="AH80:AH97" si="14">MAX(B80:AF80)</f>
        <v>1776.2399999999998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5">IF(C64&lt;0,C64*-1,0)</f>
        <v>0</v>
      </c>
      <c r="D81" s="256">
        <f t="shared" si="15"/>
        <v>0</v>
      </c>
      <c r="E81" s="256">
        <f t="shared" si="15"/>
        <v>0</v>
      </c>
      <c r="F81" s="256">
        <f t="shared" si="15"/>
        <v>0</v>
      </c>
      <c r="G81" s="256">
        <f t="shared" si="15"/>
        <v>0</v>
      </c>
      <c r="H81" s="256">
        <f t="shared" si="15"/>
        <v>0</v>
      </c>
      <c r="I81" s="256">
        <f t="shared" si="15"/>
        <v>0</v>
      </c>
      <c r="J81" s="256">
        <f t="shared" si="15"/>
        <v>0</v>
      </c>
      <c r="K81" s="256">
        <f t="shared" si="15"/>
        <v>0</v>
      </c>
      <c r="L81" s="256">
        <f t="shared" si="15"/>
        <v>0</v>
      </c>
      <c r="M81" s="256">
        <f t="shared" si="15"/>
        <v>0</v>
      </c>
      <c r="N81" s="256">
        <f t="shared" si="15"/>
        <v>0</v>
      </c>
      <c r="O81" s="256">
        <f t="shared" si="15"/>
        <v>0</v>
      </c>
      <c r="P81" s="256">
        <f t="shared" si="15"/>
        <v>0</v>
      </c>
      <c r="Q81" s="256">
        <f t="shared" si="15"/>
        <v>0</v>
      </c>
      <c r="R81" s="256">
        <f t="shared" si="15"/>
        <v>0</v>
      </c>
      <c r="S81" s="256">
        <f t="shared" si="15"/>
        <v>0</v>
      </c>
      <c r="T81" s="256">
        <f t="shared" si="15"/>
        <v>0</v>
      </c>
      <c r="U81" s="256">
        <f t="shared" si="15"/>
        <v>0</v>
      </c>
      <c r="V81" s="256">
        <f t="shared" si="15"/>
        <v>0</v>
      </c>
      <c r="W81" s="256">
        <f t="shared" si="15"/>
        <v>0</v>
      </c>
      <c r="X81" s="256">
        <f t="shared" si="15"/>
        <v>0</v>
      </c>
      <c r="Y81" s="256">
        <f t="shared" si="15"/>
        <v>0</v>
      </c>
      <c r="Z81" s="256">
        <f t="shared" si="15"/>
        <v>0</v>
      </c>
      <c r="AA81" s="256">
        <f t="shared" si="15"/>
        <v>0</v>
      </c>
      <c r="AB81" s="256">
        <f t="shared" si="15"/>
        <v>0</v>
      </c>
      <c r="AC81" s="256">
        <f t="shared" si="15"/>
        <v>0</v>
      </c>
      <c r="AD81" s="256">
        <f t="shared" si="15"/>
        <v>0</v>
      </c>
      <c r="AE81" s="256">
        <f t="shared" si="15"/>
        <v>0</v>
      </c>
      <c r="AF81" s="256">
        <f t="shared" si="15"/>
        <v>0</v>
      </c>
      <c r="AG81" s="230"/>
      <c r="AH81" s="226">
        <f t="shared" si="14"/>
        <v>0</v>
      </c>
      <c r="AI81" s="227">
        <f t="shared" ref="AI81:AI97" si="1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7">IF(C62&lt;0,C62*-1,0)</f>
        <v>0</v>
      </c>
      <c r="D82" s="256">
        <f t="shared" si="17"/>
        <v>0</v>
      </c>
      <c r="E82" s="256">
        <f t="shared" si="17"/>
        <v>0</v>
      </c>
      <c r="F82" s="256">
        <f t="shared" si="17"/>
        <v>0</v>
      </c>
      <c r="G82" s="256">
        <f t="shared" si="17"/>
        <v>0</v>
      </c>
      <c r="H82" s="256">
        <f t="shared" si="17"/>
        <v>0</v>
      </c>
      <c r="I82" s="256">
        <f t="shared" si="17"/>
        <v>0</v>
      </c>
      <c r="J82" s="256">
        <f t="shared" si="17"/>
        <v>0</v>
      </c>
      <c r="K82" s="256">
        <f t="shared" si="17"/>
        <v>0</v>
      </c>
      <c r="L82" s="256">
        <f t="shared" si="17"/>
        <v>0</v>
      </c>
      <c r="M82" s="256">
        <f t="shared" si="17"/>
        <v>0</v>
      </c>
      <c r="N82" s="256">
        <f t="shared" si="17"/>
        <v>0</v>
      </c>
      <c r="O82" s="256">
        <f t="shared" si="17"/>
        <v>0</v>
      </c>
      <c r="P82" s="256">
        <f t="shared" si="17"/>
        <v>0</v>
      </c>
      <c r="Q82" s="256">
        <f t="shared" si="17"/>
        <v>0</v>
      </c>
      <c r="R82" s="256">
        <f t="shared" si="17"/>
        <v>0</v>
      </c>
      <c r="S82" s="256">
        <f t="shared" si="17"/>
        <v>0</v>
      </c>
      <c r="T82" s="256">
        <f t="shared" si="17"/>
        <v>0</v>
      </c>
      <c r="U82" s="256">
        <f t="shared" si="17"/>
        <v>0</v>
      </c>
      <c r="V82" s="256">
        <f t="shared" si="17"/>
        <v>0</v>
      </c>
      <c r="W82" s="256">
        <f t="shared" si="17"/>
        <v>0</v>
      </c>
      <c r="X82" s="256">
        <f t="shared" si="17"/>
        <v>0</v>
      </c>
      <c r="Y82" s="256">
        <f t="shared" si="17"/>
        <v>0</v>
      </c>
      <c r="Z82" s="256">
        <f t="shared" si="17"/>
        <v>0</v>
      </c>
      <c r="AA82" s="256">
        <f t="shared" si="17"/>
        <v>0</v>
      </c>
      <c r="AB82" s="256">
        <f t="shared" si="17"/>
        <v>0</v>
      </c>
      <c r="AC82" s="256">
        <f t="shared" si="17"/>
        <v>0</v>
      </c>
      <c r="AD82" s="256">
        <f t="shared" si="17"/>
        <v>0</v>
      </c>
      <c r="AE82" s="256">
        <f t="shared" si="17"/>
        <v>0</v>
      </c>
      <c r="AF82" s="256">
        <f t="shared" si="17"/>
        <v>0</v>
      </c>
      <c r="AG82" s="235"/>
      <c r="AH82" s="226">
        <f t="shared" si="14"/>
        <v>0</v>
      </c>
      <c r="AI82" s="227">
        <f t="shared" si="1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8">IF(C65&lt;0,C65*-1,0)</f>
        <v>0</v>
      </c>
      <c r="D83" s="256">
        <f t="shared" si="18"/>
        <v>0</v>
      </c>
      <c r="E83" s="256">
        <f t="shared" si="18"/>
        <v>0</v>
      </c>
      <c r="F83" s="256">
        <f t="shared" si="18"/>
        <v>0</v>
      </c>
      <c r="G83" s="256">
        <f t="shared" si="18"/>
        <v>0</v>
      </c>
      <c r="H83" s="256">
        <f t="shared" si="18"/>
        <v>0</v>
      </c>
      <c r="I83" s="256">
        <f t="shared" si="18"/>
        <v>0</v>
      </c>
      <c r="J83" s="256">
        <f t="shared" si="18"/>
        <v>0</v>
      </c>
      <c r="K83" s="256">
        <f t="shared" si="18"/>
        <v>0</v>
      </c>
      <c r="L83" s="256">
        <f t="shared" si="18"/>
        <v>0</v>
      </c>
      <c r="M83" s="256">
        <f t="shared" si="18"/>
        <v>0</v>
      </c>
      <c r="N83" s="256">
        <f t="shared" si="18"/>
        <v>0</v>
      </c>
      <c r="O83" s="256">
        <f t="shared" si="18"/>
        <v>0</v>
      </c>
      <c r="P83" s="256">
        <f t="shared" si="18"/>
        <v>0</v>
      </c>
      <c r="Q83" s="256">
        <f t="shared" si="18"/>
        <v>0</v>
      </c>
      <c r="R83" s="256">
        <f t="shared" si="18"/>
        <v>0</v>
      </c>
      <c r="S83" s="256">
        <f t="shared" si="18"/>
        <v>0</v>
      </c>
      <c r="T83" s="256">
        <f t="shared" si="18"/>
        <v>0</v>
      </c>
      <c r="U83" s="256">
        <f t="shared" si="18"/>
        <v>0</v>
      </c>
      <c r="V83" s="256">
        <f t="shared" si="18"/>
        <v>0</v>
      </c>
      <c r="W83" s="256">
        <f t="shared" si="18"/>
        <v>0</v>
      </c>
      <c r="X83" s="256">
        <f t="shared" si="18"/>
        <v>0</v>
      </c>
      <c r="Y83" s="256">
        <f t="shared" si="18"/>
        <v>0</v>
      </c>
      <c r="Z83" s="256">
        <f t="shared" si="18"/>
        <v>0</v>
      </c>
      <c r="AA83" s="256">
        <f t="shared" si="18"/>
        <v>0</v>
      </c>
      <c r="AB83" s="256">
        <f t="shared" si="18"/>
        <v>0</v>
      </c>
      <c r="AC83" s="256">
        <f t="shared" si="18"/>
        <v>0</v>
      </c>
      <c r="AD83" s="256">
        <f t="shared" si="18"/>
        <v>0</v>
      </c>
      <c r="AE83" s="256">
        <f t="shared" si="18"/>
        <v>0</v>
      </c>
      <c r="AF83" s="256">
        <f t="shared" si="18"/>
        <v>0</v>
      </c>
      <c r="AG83" s="266"/>
      <c r="AH83" s="226">
        <f t="shared" si="14"/>
        <v>0</v>
      </c>
      <c r="AI83" s="227">
        <f t="shared" si="1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305</v>
      </c>
      <c r="C84" s="256">
        <f t="shared" ref="C84:AF84" si="19">IF(C63&lt;0,C63*-1,0)</f>
        <v>325</v>
      </c>
      <c r="D84" s="256">
        <f t="shared" si="19"/>
        <v>345</v>
      </c>
      <c r="E84" s="256">
        <f t="shared" si="19"/>
        <v>352</v>
      </c>
      <c r="F84" s="256">
        <f t="shared" si="19"/>
        <v>292</v>
      </c>
      <c r="G84" s="256">
        <f t="shared" si="19"/>
        <v>367</v>
      </c>
      <c r="H84" s="256">
        <f t="shared" si="19"/>
        <v>374</v>
      </c>
      <c r="I84" s="256">
        <f t="shared" si="19"/>
        <v>0</v>
      </c>
      <c r="J84" s="256">
        <f t="shared" si="19"/>
        <v>420</v>
      </c>
      <c r="K84" s="256">
        <f t="shared" si="19"/>
        <v>383</v>
      </c>
      <c r="L84" s="256">
        <f t="shared" si="19"/>
        <v>330</v>
      </c>
      <c r="M84" s="256">
        <f t="shared" si="19"/>
        <v>280</v>
      </c>
      <c r="N84" s="256">
        <f t="shared" si="19"/>
        <v>245.5</v>
      </c>
      <c r="O84" s="256">
        <f t="shared" si="19"/>
        <v>200.1</v>
      </c>
      <c r="P84" s="256">
        <f t="shared" si="19"/>
        <v>243</v>
      </c>
      <c r="Q84" s="256">
        <f t="shared" si="19"/>
        <v>288</v>
      </c>
      <c r="R84" s="256">
        <f t="shared" si="19"/>
        <v>290</v>
      </c>
      <c r="S84" s="256">
        <f t="shared" si="19"/>
        <v>256</v>
      </c>
      <c r="T84" s="256">
        <f t="shared" si="19"/>
        <v>256</v>
      </c>
      <c r="U84" s="256">
        <f t="shared" si="19"/>
        <v>245</v>
      </c>
      <c r="V84" s="256">
        <f t="shared" si="19"/>
        <v>230</v>
      </c>
      <c r="W84" s="256">
        <f t="shared" si="19"/>
        <v>280</v>
      </c>
      <c r="X84" s="256">
        <f t="shared" si="19"/>
        <v>290</v>
      </c>
      <c r="Y84" s="256">
        <f t="shared" si="19"/>
        <v>274</v>
      </c>
      <c r="Z84" s="256">
        <f t="shared" si="19"/>
        <v>162</v>
      </c>
      <c r="AA84" s="256">
        <f t="shared" si="19"/>
        <v>200</v>
      </c>
      <c r="AB84" s="256">
        <f t="shared" si="19"/>
        <v>204</v>
      </c>
      <c r="AC84" s="256">
        <f t="shared" si="19"/>
        <v>220</v>
      </c>
      <c r="AD84" s="256">
        <f t="shared" si="19"/>
        <v>248.2</v>
      </c>
      <c r="AE84" s="256">
        <f t="shared" si="19"/>
        <v>283</v>
      </c>
      <c r="AF84" s="256">
        <f t="shared" si="19"/>
        <v>342</v>
      </c>
      <c r="AG84" s="266"/>
      <c r="AH84" s="226">
        <f t="shared" si="14"/>
        <v>420</v>
      </c>
      <c r="AI84" s="227">
        <f t="shared" si="16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0">IF(C61&lt;0,C61*-1,0)</f>
        <v>0</v>
      </c>
      <c r="D85" s="256">
        <f t="shared" si="20"/>
        <v>0</v>
      </c>
      <c r="E85" s="256">
        <f t="shared" si="20"/>
        <v>0</v>
      </c>
      <c r="F85" s="256">
        <f t="shared" si="20"/>
        <v>0</v>
      </c>
      <c r="G85" s="256">
        <f t="shared" si="20"/>
        <v>0</v>
      </c>
      <c r="H85" s="256">
        <f t="shared" si="20"/>
        <v>0</v>
      </c>
      <c r="I85" s="256">
        <f t="shared" si="20"/>
        <v>0</v>
      </c>
      <c r="J85" s="256">
        <f t="shared" si="20"/>
        <v>0</v>
      </c>
      <c r="K85" s="256">
        <f t="shared" si="20"/>
        <v>0</v>
      </c>
      <c r="L85" s="256">
        <f t="shared" si="20"/>
        <v>0</v>
      </c>
      <c r="M85" s="256">
        <f t="shared" si="20"/>
        <v>0</v>
      </c>
      <c r="N85" s="256">
        <f t="shared" si="20"/>
        <v>0</v>
      </c>
      <c r="O85" s="256">
        <f t="shared" si="20"/>
        <v>0</v>
      </c>
      <c r="P85" s="256">
        <f t="shared" si="20"/>
        <v>0</v>
      </c>
      <c r="Q85" s="256">
        <f t="shared" si="20"/>
        <v>0</v>
      </c>
      <c r="R85" s="256">
        <f t="shared" si="20"/>
        <v>0</v>
      </c>
      <c r="S85" s="256">
        <f t="shared" si="20"/>
        <v>0</v>
      </c>
      <c r="T85" s="256">
        <f t="shared" si="20"/>
        <v>0</v>
      </c>
      <c r="U85" s="256">
        <f t="shared" si="20"/>
        <v>0</v>
      </c>
      <c r="V85" s="256">
        <f t="shared" si="20"/>
        <v>0</v>
      </c>
      <c r="W85" s="256">
        <f t="shared" si="20"/>
        <v>0</v>
      </c>
      <c r="X85" s="256">
        <f t="shared" si="20"/>
        <v>0</v>
      </c>
      <c r="Y85" s="256">
        <f t="shared" si="20"/>
        <v>0</v>
      </c>
      <c r="Z85" s="256">
        <f t="shared" si="20"/>
        <v>0</v>
      </c>
      <c r="AA85" s="256">
        <f t="shared" si="20"/>
        <v>0</v>
      </c>
      <c r="AB85" s="256">
        <f t="shared" si="20"/>
        <v>0</v>
      </c>
      <c r="AC85" s="256">
        <f t="shared" si="20"/>
        <v>0</v>
      </c>
      <c r="AD85" s="256">
        <f t="shared" si="20"/>
        <v>0</v>
      </c>
      <c r="AE85" s="256">
        <f t="shared" si="20"/>
        <v>0</v>
      </c>
      <c r="AF85" s="256">
        <f t="shared" si="20"/>
        <v>0</v>
      </c>
      <c r="AG85" s="266"/>
      <c r="AH85" s="226">
        <f t="shared" si="14"/>
        <v>0</v>
      </c>
      <c r="AI85" s="227">
        <f t="shared" si="1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4"/>
        <v>0</v>
      </c>
      <c r="AI86" s="227">
        <f t="shared" si="1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305</v>
      </c>
      <c r="C87" s="241">
        <f t="shared" ref="C87:AF87" si="21">SUM(C81:C86)</f>
        <v>325</v>
      </c>
      <c r="D87" s="241">
        <f t="shared" si="21"/>
        <v>345</v>
      </c>
      <c r="E87" s="241">
        <f t="shared" si="21"/>
        <v>352</v>
      </c>
      <c r="F87" s="241">
        <f t="shared" si="21"/>
        <v>292</v>
      </c>
      <c r="G87" s="241">
        <f t="shared" si="21"/>
        <v>367</v>
      </c>
      <c r="H87" s="241">
        <f t="shared" si="21"/>
        <v>374</v>
      </c>
      <c r="I87" s="241">
        <f t="shared" si="21"/>
        <v>0</v>
      </c>
      <c r="J87" s="241">
        <f t="shared" si="21"/>
        <v>420</v>
      </c>
      <c r="K87" s="241">
        <f t="shared" si="21"/>
        <v>383</v>
      </c>
      <c r="L87" s="241">
        <f t="shared" si="21"/>
        <v>330</v>
      </c>
      <c r="M87" s="241">
        <f t="shared" si="21"/>
        <v>280</v>
      </c>
      <c r="N87" s="241">
        <f t="shared" si="21"/>
        <v>245.5</v>
      </c>
      <c r="O87" s="241">
        <f t="shared" si="21"/>
        <v>200.1</v>
      </c>
      <c r="P87" s="241">
        <f t="shared" si="21"/>
        <v>243</v>
      </c>
      <c r="Q87" s="241">
        <f t="shared" si="21"/>
        <v>288</v>
      </c>
      <c r="R87" s="241">
        <f t="shared" si="21"/>
        <v>290</v>
      </c>
      <c r="S87" s="241">
        <f t="shared" si="21"/>
        <v>256</v>
      </c>
      <c r="T87" s="241">
        <f t="shared" si="21"/>
        <v>256</v>
      </c>
      <c r="U87" s="241">
        <f t="shared" si="21"/>
        <v>245</v>
      </c>
      <c r="V87" s="241">
        <f t="shared" si="21"/>
        <v>230</v>
      </c>
      <c r="W87" s="241">
        <f t="shared" si="21"/>
        <v>280</v>
      </c>
      <c r="X87" s="241">
        <f t="shared" si="21"/>
        <v>290</v>
      </c>
      <c r="Y87" s="241">
        <f t="shared" si="21"/>
        <v>274</v>
      </c>
      <c r="Z87" s="241">
        <f t="shared" si="21"/>
        <v>162</v>
      </c>
      <c r="AA87" s="241">
        <f t="shared" si="21"/>
        <v>200</v>
      </c>
      <c r="AB87" s="241">
        <f t="shared" si="21"/>
        <v>204</v>
      </c>
      <c r="AC87" s="241">
        <f t="shared" si="21"/>
        <v>220</v>
      </c>
      <c r="AD87" s="241">
        <f t="shared" si="21"/>
        <v>248.2</v>
      </c>
      <c r="AE87" s="241">
        <f t="shared" si="21"/>
        <v>283</v>
      </c>
      <c r="AF87" s="241">
        <f t="shared" si="21"/>
        <v>342</v>
      </c>
      <c r="AG87" s="261"/>
      <c r="AH87" s="226">
        <f t="shared" si="14"/>
        <v>420</v>
      </c>
      <c r="AI87" s="227">
        <f t="shared" si="16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-238.3</v>
      </c>
      <c r="C88" s="241">
        <f t="shared" ref="C88:AF88" si="22">C72-C87</f>
        <v>-299</v>
      </c>
      <c r="D88" s="241">
        <f t="shared" si="22"/>
        <v>-321</v>
      </c>
      <c r="E88" s="241">
        <f t="shared" si="22"/>
        <v>-329.9</v>
      </c>
      <c r="F88" s="241">
        <f t="shared" si="22"/>
        <v>-286</v>
      </c>
      <c r="G88" s="241">
        <f t="shared" si="22"/>
        <v>-355.3</v>
      </c>
      <c r="H88" s="241">
        <f t="shared" si="22"/>
        <v>-363.8</v>
      </c>
      <c r="I88" s="241">
        <f t="shared" si="22"/>
        <v>0</v>
      </c>
      <c r="J88" s="241">
        <f t="shared" si="22"/>
        <v>-398</v>
      </c>
      <c r="K88" s="241">
        <f t="shared" si="22"/>
        <v>-374.1</v>
      </c>
      <c r="L88" s="241">
        <f t="shared" si="22"/>
        <v>-297</v>
      </c>
      <c r="M88" s="241">
        <f t="shared" si="22"/>
        <v>-239.6</v>
      </c>
      <c r="N88" s="241">
        <f t="shared" si="22"/>
        <v>-192.3</v>
      </c>
      <c r="O88" s="241">
        <f t="shared" si="22"/>
        <v>-144.30000000000001</v>
      </c>
      <c r="P88" s="241">
        <f t="shared" si="22"/>
        <v>-176.2</v>
      </c>
      <c r="Q88" s="241">
        <f t="shared" si="22"/>
        <v>-217.7</v>
      </c>
      <c r="R88" s="241">
        <f t="shared" si="22"/>
        <v>-223.5</v>
      </c>
      <c r="S88" s="241">
        <f t="shared" si="22"/>
        <v>-181</v>
      </c>
      <c r="T88" s="241">
        <f t="shared" si="22"/>
        <v>-180</v>
      </c>
      <c r="U88" s="241">
        <f t="shared" si="22"/>
        <v>-174</v>
      </c>
      <c r="V88" s="241">
        <f t="shared" si="22"/>
        <v>-162</v>
      </c>
      <c r="W88" s="241">
        <f t="shared" si="22"/>
        <v>-221</v>
      </c>
      <c r="X88" s="241">
        <f t="shared" si="22"/>
        <v>-233</v>
      </c>
      <c r="Y88" s="241">
        <f t="shared" si="22"/>
        <v>-214</v>
      </c>
      <c r="Z88" s="241">
        <f t="shared" si="22"/>
        <v>-99</v>
      </c>
      <c r="AA88" s="241">
        <f t="shared" si="22"/>
        <v>-125</v>
      </c>
      <c r="AB88" s="241">
        <f t="shared" si="22"/>
        <v>-132.6</v>
      </c>
      <c r="AC88" s="241">
        <f t="shared" si="22"/>
        <v>-141</v>
      </c>
      <c r="AD88" s="241">
        <f t="shared" si="22"/>
        <v>-168.2</v>
      </c>
      <c r="AE88" s="241">
        <f t="shared" si="22"/>
        <v>-208.8</v>
      </c>
      <c r="AF88" s="241">
        <f t="shared" si="22"/>
        <v>-266.2</v>
      </c>
      <c r="AG88" s="261"/>
      <c r="AH88" s="226">
        <f t="shared" si="14"/>
        <v>0</v>
      </c>
      <c r="AI88" s="227">
        <f t="shared" si="16"/>
        <v>-398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50.042000000000002</v>
      </c>
      <c r="C89" s="269">
        <v>50.017000000000003</v>
      </c>
      <c r="D89" s="269">
        <v>49.970999999999997</v>
      </c>
      <c r="E89" s="269">
        <v>50.042000000000002</v>
      </c>
      <c r="F89" s="269">
        <v>50.015000000000001</v>
      </c>
      <c r="G89" s="269">
        <v>49.997</v>
      </c>
      <c r="H89" s="269">
        <v>50.034999999999997</v>
      </c>
      <c r="I89" s="269"/>
      <c r="J89" s="269">
        <v>50.018000000000001</v>
      </c>
      <c r="K89" s="269">
        <v>49.951999999999998</v>
      </c>
      <c r="L89" s="269">
        <v>50</v>
      </c>
      <c r="M89" s="269">
        <v>49.929000000000002</v>
      </c>
      <c r="N89" s="269">
        <v>50.018999999999998</v>
      </c>
      <c r="O89" s="269">
        <v>50.006999999999998</v>
      </c>
      <c r="P89" s="269">
        <v>49.996000000000002</v>
      </c>
      <c r="Q89" s="269">
        <v>49.991</v>
      </c>
      <c r="R89" s="269">
        <v>50.05</v>
      </c>
      <c r="S89" s="269">
        <v>49.973999999999997</v>
      </c>
      <c r="T89" s="269">
        <v>49.97</v>
      </c>
      <c r="U89" s="269">
        <v>49.87</v>
      </c>
      <c r="V89" s="269">
        <v>49.84</v>
      </c>
      <c r="W89" s="269">
        <v>49.93</v>
      </c>
      <c r="X89" s="269">
        <v>49.899000000000001</v>
      </c>
      <c r="Y89" s="269">
        <v>49.731000000000002</v>
      </c>
      <c r="Z89" s="269">
        <v>49.798999999999999</v>
      </c>
      <c r="AA89" s="269">
        <v>49.59</v>
      </c>
      <c r="AB89" s="269">
        <v>49.887999999999998</v>
      </c>
      <c r="AC89" s="269">
        <v>49.893000000000001</v>
      </c>
      <c r="AD89" s="269">
        <v>49.81</v>
      </c>
      <c r="AE89" s="269">
        <v>50.024000000000001</v>
      </c>
      <c r="AF89" s="269">
        <v>49.911000000000001</v>
      </c>
      <c r="AG89" s="270"/>
      <c r="AH89" s="226">
        <f t="shared" si="14"/>
        <v>50.05</v>
      </c>
      <c r="AI89" s="227">
        <f t="shared" si="16"/>
        <v>49.59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</v>
      </c>
      <c r="C90" s="245">
        <v>123.8</v>
      </c>
      <c r="D90" s="245">
        <v>123.7</v>
      </c>
      <c r="E90" s="245">
        <v>123.7</v>
      </c>
      <c r="F90" s="245">
        <v>126.5</v>
      </c>
      <c r="G90" s="245">
        <v>124.8</v>
      </c>
      <c r="H90" s="245">
        <v>124.7</v>
      </c>
      <c r="I90" s="245"/>
      <c r="J90" s="245">
        <v>123.8</v>
      </c>
      <c r="K90" s="245">
        <v>124.8</v>
      </c>
      <c r="L90" s="245">
        <v>124.7</v>
      </c>
      <c r="M90" s="245">
        <v>124.1</v>
      </c>
      <c r="N90" s="245">
        <v>123.9</v>
      </c>
      <c r="O90" s="245">
        <v>121.8</v>
      </c>
      <c r="P90" s="245">
        <v>121.5</v>
      </c>
      <c r="Q90" s="245">
        <v>123.9</v>
      </c>
      <c r="R90" s="245">
        <v>123.3</v>
      </c>
      <c r="S90" s="245">
        <v>123.3</v>
      </c>
      <c r="T90" s="245">
        <v>121.4</v>
      </c>
      <c r="U90" s="245">
        <v>121</v>
      </c>
      <c r="V90" s="245">
        <v>123</v>
      </c>
      <c r="W90" s="245">
        <v>123</v>
      </c>
      <c r="X90" s="245">
        <v>124</v>
      </c>
      <c r="Y90" s="245">
        <v>124</v>
      </c>
      <c r="Z90" s="245">
        <v>123.3</v>
      </c>
      <c r="AA90" s="245">
        <v>124.5</v>
      </c>
      <c r="AB90" s="245">
        <v>125.7</v>
      </c>
      <c r="AC90" s="245">
        <v>123.6</v>
      </c>
      <c r="AD90" s="245">
        <v>124.4</v>
      </c>
      <c r="AE90" s="245">
        <v>124.1</v>
      </c>
      <c r="AF90" s="245">
        <v>123.5</v>
      </c>
      <c r="AG90" s="272"/>
      <c r="AH90" s="226">
        <f t="shared" si="14"/>
        <v>126.5</v>
      </c>
      <c r="AI90" s="227">
        <f t="shared" si="16"/>
        <v>121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</v>
      </c>
      <c r="C91" s="245">
        <v>128.9</v>
      </c>
      <c r="D91" s="245">
        <v>129</v>
      </c>
      <c r="E91" s="245">
        <v>129</v>
      </c>
      <c r="F91" s="245">
        <v>130.6</v>
      </c>
      <c r="G91" s="245">
        <v>129.30000000000001</v>
      </c>
      <c r="H91" s="245">
        <v>129.19999999999999</v>
      </c>
      <c r="I91" s="245"/>
      <c r="J91" s="245">
        <v>127.3</v>
      </c>
      <c r="K91" s="245">
        <v>127.8</v>
      </c>
      <c r="L91" s="245">
        <v>127</v>
      </c>
      <c r="M91" s="245">
        <v>126.9</v>
      </c>
      <c r="N91" s="245">
        <v>127.3</v>
      </c>
      <c r="O91" s="245">
        <v>125.4</v>
      </c>
      <c r="P91" s="245">
        <v>125.4</v>
      </c>
      <c r="Q91" s="245">
        <v>126.9</v>
      </c>
      <c r="R91" s="245">
        <v>126.3</v>
      </c>
      <c r="S91" s="245">
        <v>126.3</v>
      </c>
      <c r="T91" s="245">
        <v>125</v>
      </c>
      <c r="U91" s="245">
        <v>124.4</v>
      </c>
      <c r="V91" s="245">
        <v>126</v>
      </c>
      <c r="W91" s="245">
        <v>126.5</v>
      </c>
      <c r="X91" s="245">
        <v>127.5</v>
      </c>
      <c r="Y91" s="245">
        <v>127.5</v>
      </c>
      <c r="Z91" s="245">
        <v>126.7</v>
      </c>
      <c r="AA91" s="245">
        <v>128.30000000000001</v>
      </c>
      <c r="AB91" s="245">
        <v>129.80000000000001</v>
      </c>
      <c r="AC91" s="245">
        <v>127.3</v>
      </c>
      <c r="AD91" s="245">
        <v>128.1</v>
      </c>
      <c r="AE91" s="245">
        <v>129</v>
      </c>
      <c r="AF91" s="245">
        <v>128.30000000000001</v>
      </c>
      <c r="AG91" s="272"/>
      <c r="AH91" s="226">
        <f t="shared" si="14"/>
        <v>130.6</v>
      </c>
      <c r="AI91" s="227">
        <f t="shared" si="16"/>
        <v>124.4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</v>
      </c>
      <c r="C92" s="245">
        <v>129.30000000000001</v>
      </c>
      <c r="D92" s="245">
        <v>129.80000000000001</v>
      </c>
      <c r="E92" s="245">
        <v>129</v>
      </c>
      <c r="F92" s="245">
        <v>129.6</v>
      </c>
      <c r="G92" s="245">
        <v>130.6</v>
      </c>
      <c r="H92" s="245">
        <v>131.1</v>
      </c>
      <c r="I92" s="245"/>
      <c r="J92" s="245">
        <v>127.5</v>
      </c>
      <c r="K92" s="245">
        <v>129.69999999999999</v>
      </c>
      <c r="L92" s="245">
        <v>128.5</v>
      </c>
      <c r="M92" s="245">
        <v>128.4</v>
      </c>
      <c r="N92" s="245">
        <v>130.6</v>
      </c>
      <c r="O92" s="245">
        <v>127.8</v>
      </c>
      <c r="P92" s="245">
        <v>129.9</v>
      </c>
      <c r="Q92" s="245">
        <v>131.19999999999999</v>
      </c>
      <c r="R92" s="245">
        <v>130.30000000000001</v>
      </c>
      <c r="S92" s="245">
        <v>130.30000000000001</v>
      </c>
      <c r="T92" s="245">
        <v>127</v>
      </c>
      <c r="U92" s="245">
        <v>130</v>
      </c>
      <c r="V92" s="245">
        <v>130</v>
      </c>
      <c r="W92" s="245">
        <v>131</v>
      </c>
      <c r="X92" s="245">
        <v>132</v>
      </c>
      <c r="Y92" s="245">
        <v>132</v>
      </c>
      <c r="Z92" s="245">
        <v>128</v>
      </c>
      <c r="AA92" s="245">
        <v>128.5</v>
      </c>
      <c r="AB92" s="245">
        <v>128.5</v>
      </c>
      <c r="AC92" s="245">
        <v>128.6</v>
      </c>
      <c r="AD92" s="245">
        <v>128.4</v>
      </c>
      <c r="AE92" s="245">
        <v>129.4</v>
      </c>
      <c r="AF92" s="245">
        <v>129.19999999999999</v>
      </c>
      <c r="AG92" s="272"/>
      <c r="AH92" s="226">
        <f t="shared" si="14"/>
        <v>132</v>
      </c>
      <c r="AI92" s="227">
        <f t="shared" si="16"/>
        <v>127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</v>
      </c>
      <c r="C93" s="245">
        <v>134.1</v>
      </c>
      <c r="D93" s="245">
        <v>135</v>
      </c>
      <c r="E93" s="245">
        <v>134.69999999999999</v>
      </c>
      <c r="F93" s="245">
        <v>133.4</v>
      </c>
      <c r="G93" s="245">
        <v>134.30000000000001</v>
      </c>
      <c r="H93" s="245">
        <v>134.80000000000001</v>
      </c>
      <c r="I93" s="245"/>
      <c r="J93" s="245">
        <v>131.1</v>
      </c>
      <c r="K93" s="245">
        <v>132.4</v>
      </c>
      <c r="L93" s="245">
        <v>130.9</v>
      </c>
      <c r="M93" s="245">
        <v>130.6</v>
      </c>
      <c r="N93" s="245">
        <v>133.19999999999999</v>
      </c>
      <c r="O93" s="245">
        <v>130.19999999999999</v>
      </c>
      <c r="P93" s="245">
        <v>131.6</v>
      </c>
      <c r="Q93" s="245">
        <v>133.30000000000001</v>
      </c>
      <c r="R93" s="245"/>
      <c r="S93" s="245">
        <v>130</v>
      </c>
      <c r="T93" s="245">
        <v>130</v>
      </c>
      <c r="U93" s="245">
        <v>132</v>
      </c>
      <c r="V93" s="245">
        <v>132</v>
      </c>
      <c r="W93" s="245">
        <v>133</v>
      </c>
      <c r="X93" s="245">
        <v>134.6</v>
      </c>
      <c r="Y93" s="245">
        <v>134.6</v>
      </c>
      <c r="Z93" s="245">
        <v>131</v>
      </c>
      <c r="AA93" s="245">
        <v>131.19999999999999</v>
      </c>
      <c r="AB93" s="245">
        <v>132</v>
      </c>
      <c r="AC93" s="245">
        <v>132.1</v>
      </c>
      <c r="AD93" s="245">
        <v>132.1</v>
      </c>
      <c r="AE93" s="245">
        <v>133.80000000000001</v>
      </c>
      <c r="AF93" s="245">
        <v>134.1</v>
      </c>
      <c r="AG93" s="272"/>
      <c r="AH93" s="226">
        <f t="shared" si="14"/>
        <v>135</v>
      </c>
      <c r="AI93" s="227">
        <f t="shared" si="16"/>
        <v>130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131.4</v>
      </c>
      <c r="C94" s="274">
        <v>134.69999999999999</v>
      </c>
      <c r="D94" s="274">
        <v>133.4</v>
      </c>
      <c r="E94" s="274">
        <v>132.9</v>
      </c>
      <c r="F94" s="274">
        <v>135</v>
      </c>
      <c r="G94" s="274">
        <v>136.1</v>
      </c>
      <c r="H94" s="274">
        <v>132.5</v>
      </c>
      <c r="I94" s="274"/>
      <c r="J94" s="274">
        <v>131.4</v>
      </c>
      <c r="K94" s="274">
        <v>133</v>
      </c>
      <c r="L94" s="274">
        <v>131.9</v>
      </c>
      <c r="M94" s="274">
        <v>131.19999999999999</v>
      </c>
      <c r="N94" s="274">
        <v>133.5</v>
      </c>
      <c r="O94" s="274">
        <v>135.5</v>
      </c>
      <c r="P94" s="274">
        <v>129.9</v>
      </c>
      <c r="Q94" s="274">
        <v>133.6</v>
      </c>
      <c r="R94" s="274">
        <v>132.9</v>
      </c>
      <c r="S94" s="274">
        <v>132.9</v>
      </c>
      <c r="T94" s="274">
        <v>132</v>
      </c>
      <c r="U94" s="274">
        <v>128.6</v>
      </c>
      <c r="V94" s="274">
        <v>132</v>
      </c>
      <c r="W94" s="274">
        <v>133</v>
      </c>
      <c r="X94" s="274">
        <v>135</v>
      </c>
      <c r="Y94" s="274">
        <v>135</v>
      </c>
      <c r="Z94" s="274">
        <v>132</v>
      </c>
      <c r="AA94" s="274">
        <v>133.5</v>
      </c>
      <c r="AB94" s="274">
        <v>133.6</v>
      </c>
      <c r="AC94" s="274">
        <v>132.4</v>
      </c>
      <c r="AD94" s="274">
        <v>133.80000000000001</v>
      </c>
      <c r="AE94" s="274">
        <v>133.6</v>
      </c>
      <c r="AF94" s="274">
        <v>129.5</v>
      </c>
      <c r="AG94" s="275"/>
      <c r="AH94" s="226">
        <f t="shared" si="14"/>
        <v>136.1</v>
      </c>
      <c r="AI94" s="227">
        <f t="shared" si="16"/>
        <v>128.6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127.1</v>
      </c>
      <c r="C95" s="245">
        <v>130.9</v>
      </c>
      <c r="D95" s="245">
        <v>128.1</v>
      </c>
      <c r="E95" s="245">
        <v>128.4</v>
      </c>
      <c r="F95" s="245">
        <v>135.4</v>
      </c>
      <c r="G95" s="245">
        <v>136.5</v>
      </c>
      <c r="H95" s="245">
        <v>131.1</v>
      </c>
      <c r="I95" s="245"/>
      <c r="J95" s="245">
        <v>126.1</v>
      </c>
      <c r="K95" s="245">
        <v>127.4</v>
      </c>
      <c r="L95" s="245">
        <v>128.80000000000001</v>
      </c>
      <c r="M95" s="245">
        <v>131.19999999999999</v>
      </c>
      <c r="N95" s="245">
        <v>132.69999999999999</v>
      </c>
      <c r="O95" s="245">
        <v>127</v>
      </c>
      <c r="P95" s="245">
        <v>127.4</v>
      </c>
      <c r="Q95" s="245">
        <v>126.1</v>
      </c>
      <c r="R95" s="245">
        <v>122.2</v>
      </c>
      <c r="S95" s="245">
        <v>122.2</v>
      </c>
      <c r="T95" s="245">
        <v>125</v>
      </c>
      <c r="U95" s="245">
        <v>125</v>
      </c>
      <c r="V95" s="245">
        <v>126</v>
      </c>
      <c r="W95" s="245">
        <v>128</v>
      </c>
      <c r="X95" s="245">
        <v>132</v>
      </c>
      <c r="Y95" s="245">
        <v>132</v>
      </c>
      <c r="Z95" s="245">
        <v>127</v>
      </c>
      <c r="AA95" s="245">
        <v>130.9</v>
      </c>
      <c r="AB95" s="245">
        <v>127.3</v>
      </c>
      <c r="AC95" s="245">
        <v>124.1</v>
      </c>
      <c r="AD95" s="245">
        <v>128.69999999999999</v>
      </c>
      <c r="AE95" s="245">
        <v>129.30000000000001</v>
      </c>
      <c r="AF95" s="245">
        <v>123.4</v>
      </c>
      <c r="AG95" s="272"/>
      <c r="AH95" s="226">
        <f t="shared" si="14"/>
        <v>136.5</v>
      </c>
      <c r="AI95" s="227">
        <f t="shared" si="16"/>
        <v>122.2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64.7</v>
      </c>
      <c r="C96" s="276">
        <v>65.099999999999994</v>
      </c>
      <c r="D96" s="276">
        <v>65.099999999999994</v>
      </c>
      <c r="E96" s="276">
        <v>65.099999999999994</v>
      </c>
      <c r="F96" s="276">
        <v>65.900000000000006</v>
      </c>
      <c r="G96" s="276">
        <v>65.5</v>
      </c>
      <c r="H96" s="276">
        <v>65.099999999999994</v>
      </c>
      <c r="I96" s="276"/>
      <c r="J96" s="276">
        <v>64</v>
      </c>
      <c r="K96" s="276">
        <v>64.2</v>
      </c>
      <c r="L96" s="276">
        <v>63.9</v>
      </c>
      <c r="M96" s="276">
        <v>64</v>
      </c>
      <c r="N96" s="276">
        <v>64</v>
      </c>
      <c r="O96" s="276">
        <v>62.9</v>
      </c>
      <c r="P96" s="276">
        <v>62.9</v>
      </c>
      <c r="Q96" s="276">
        <v>63.7</v>
      </c>
      <c r="R96" s="276">
        <v>63.4</v>
      </c>
      <c r="S96" s="276">
        <v>63.4</v>
      </c>
      <c r="T96" s="276">
        <v>62.3</v>
      </c>
      <c r="U96" s="276">
        <v>62.5</v>
      </c>
      <c r="V96" s="276">
        <v>63.3</v>
      </c>
      <c r="W96" s="276">
        <v>63.7</v>
      </c>
      <c r="X96" s="276">
        <v>64.3</v>
      </c>
      <c r="Y96" s="276">
        <v>64.3</v>
      </c>
      <c r="Z96" s="276">
        <v>64</v>
      </c>
      <c r="AA96" s="276">
        <v>64.7</v>
      </c>
      <c r="AB96" s="276">
        <v>65.099999999999994</v>
      </c>
      <c r="AC96" s="276">
        <v>64.099999999999994</v>
      </c>
      <c r="AD96" s="276">
        <v>64.400000000000006</v>
      </c>
      <c r="AE96" s="276">
        <v>65</v>
      </c>
      <c r="AF96" s="276">
        <v>65</v>
      </c>
      <c r="AG96" s="277"/>
      <c r="AH96" s="226">
        <f t="shared" si="14"/>
        <v>65.900000000000006</v>
      </c>
      <c r="AI96" s="227">
        <f t="shared" si="16"/>
        <v>62.3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4"/>
        <v>0</v>
      </c>
      <c r="AI97" s="227">
        <f t="shared" si="16"/>
        <v>0</v>
      </c>
    </row>
    <row r="98" spans="1:37" ht="15.75" thickBot="1" x14ac:dyDescent="0.3">
      <c r="A98" s="279" t="s">
        <v>102</v>
      </c>
      <c r="B98" s="280">
        <f t="shared" ref="B98:AF98" si="23">SUM(B15,B18,B21:B22,B46,B48:B49,B51,B53,B99:B102,B124,B130,B136,B145,B147,B159,B166,B169:B170,B177,B179,B181,B185:B187,B189:B191,B196,B202:B203,B205:B207,B215,B220)</f>
        <v>50.300000000000004</v>
      </c>
      <c r="C98" s="280">
        <f t="shared" si="23"/>
        <v>56.24</v>
      </c>
      <c r="D98" s="280">
        <f t="shared" si="23"/>
        <v>40.14</v>
      </c>
      <c r="E98" s="280">
        <f t="shared" si="23"/>
        <v>39.339999999999989</v>
      </c>
      <c r="F98" s="280">
        <f t="shared" si="23"/>
        <v>36.040000000000013</v>
      </c>
      <c r="G98" s="280">
        <f t="shared" si="23"/>
        <v>130.64000000000001</v>
      </c>
      <c r="H98" s="280">
        <f t="shared" si="23"/>
        <v>83.539999999999992</v>
      </c>
      <c r="I98" s="280">
        <f t="shared" si="23"/>
        <v>0.94</v>
      </c>
      <c r="J98" s="280">
        <f t="shared" si="23"/>
        <v>119.24</v>
      </c>
      <c r="K98" s="280">
        <f t="shared" si="23"/>
        <v>153.64000000000001</v>
      </c>
      <c r="L98" s="280">
        <f t="shared" si="23"/>
        <v>160.34</v>
      </c>
      <c r="M98" s="280">
        <f t="shared" si="23"/>
        <v>169.94</v>
      </c>
      <c r="N98" s="280">
        <f t="shared" si="23"/>
        <v>175.94000000000005</v>
      </c>
      <c r="O98" s="280">
        <f t="shared" si="23"/>
        <v>194.23999999999998</v>
      </c>
      <c r="P98" s="280">
        <f t="shared" si="23"/>
        <v>233.14</v>
      </c>
      <c r="Q98" s="280">
        <f t="shared" si="23"/>
        <v>206.10000000000002</v>
      </c>
      <c r="R98" s="280">
        <f t="shared" si="23"/>
        <v>187.8</v>
      </c>
      <c r="S98" s="280">
        <f t="shared" si="23"/>
        <v>250.5</v>
      </c>
      <c r="T98" s="280">
        <f t="shared" si="23"/>
        <v>244.5</v>
      </c>
      <c r="U98" s="280">
        <f t="shared" si="23"/>
        <v>262.5</v>
      </c>
      <c r="V98" s="280">
        <f t="shared" si="23"/>
        <v>259</v>
      </c>
      <c r="W98" s="280">
        <f t="shared" si="23"/>
        <v>241.5</v>
      </c>
      <c r="X98" s="280">
        <f t="shared" si="23"/>
        <v>228.5</v>
      </c>
      <c r="Y98" s="280">
        <f t="shared" si="23"/>
        <v>255.5</v>
      </c>
      <c r="Z98" s="280">
        <f t="shared" si="23"/>
        <v>308.5</v>
      </c>
      <c r="AA98" s="280">
        <f t="shared" si="23"/>
        <v>364.7</v>
      </c>
      <c r="AB98" s="280">
        <f t="shared" si="23"/>
        <v>213.29999999999998</v>
      </c>
      <c r="AC98" s="280">
        <f t="shared" si="23"/>
        <v>225.6</v>
      </c>
      <c r="AD98" s="280">
        <f t="shared" si="23"/>
        <v>192.7</v>
      </c>
      <c r="AE98" s="280">
        <f t="shared" si="23"/>
        <v>123.39999999999999</v>
      </c>
      <c r="AF98" s="280">
        <f t="shared" si="23"/>
        <v>77.999999999999986</v>
      </c>
      <c r="AG98" s="281"/>
      <c r="AH98" s="226">
        <f>MAX(C98:AF98)</f>
        <v>364.7</v>
      </c>
      <c r="AI98" s="227">
        <f>MIN(C98:AF98)</f>
        <v>0.94</v>
      </c>
    </row>
    <row r="99" spans="1:37" x14ac:dyDescent="0.25">
      <c r="A99" s="268" t="s">
        <v>103</v>
      </c>
      <c r="B99" s="282">
        <v>16</v>
      </c>
      <c r="C99" s="282">
        <v>12</v>
      </c>
      <c r="D99" s="282">
        <v>14.5</v>
      </c>
      <c r="E99" s="282">
        <v>14.2</v>
      </c>
      <c r="F99" s="282">
        <v>9.5</v>
      </c>
      <c r="G99" s="282">
        <v>11.2</v>
      </c>
      <c r="H99" s="282">
        <v>18.7</v>
      </c>
      <c r="I99" s="282"/>
      <c r="J99" s="282">
        <v>36.299999999999997</v>
      </c>
      <c r="K99" s="282">
        <v>31.4</v>
      </c>
      <c r="L99" s="282">
        <v>37.299999999999997</v>
      </c>
      <c r="M99" s="282">
        <v>32.4</v>
      </c>
      <c r="N99" s="282">
        <v>33.700000000000003</v>
      </c>
      <c r="O99" s="282">
        <v>38.299999999999997</v>
      </c>
      <c r="P99" s="282">
        <v>31.2</v>
      </c>
      <c r="Q99" s="282">
        <v>32.299999999999997</v>
      </c>
      <c r="R99" s="282">
        <v>29.4</v>
      </c>
      <c r="S99" s="282">
        <f>46+28</f>
        <v>74</v>
      </c>
      <c r="T99" s="282">
        <v>70</v>
      </c>
      <c r="U99" s="282">
        <v>63</v>
      </c>
      <c r="V99" s="282">
        <v>63</v>
      </c>
      <c r="W99" s="282">
        <v>67</v>
      </c>
      <c r="X99" s="282">
        <v>68</v>
      </c>
      <c r="Y99" s="282">
        <v>76</v>
      </c>
      <c r="Z99" s="282">
        <v>50</v>
      </c>
      <c r="AA99" s="282">
        <v>50</v>
      </c>
      <c r="AB99" s="282">
        <v>20.2</v>
      </c>
      <c r="AC99" s="282">
        <v>16.3</v>
      </c>
      <c r="AD99" s="282">
        <v>18</v>
      </c>
      <c r="AE99" s="282">
        <v>20.5</v>
      </c>
      <c r="AF99" s="282">
        <v>20.2</v>
      </c>
      <c r="AG99" s="283">
        <v>75</v>
      </c>
      <c r="AH99" s="226">
        <f t="shared" ref="AH99:AH106" si="24">IF(ABS(MAX(C99:AF99))&gt;ABS(MIN(C99:AF99)),MAX(C99:AF99),MIN(C99:AF99))</f>
        <v>76</v>
      </c>
      <c r="AI99" s="284">
        <f t="shared" ref="AI99:AI106" si="25">INDEX($C$9:$AF$9,1,MATCH(AH99,C99:AF99,0))</f>
        <v>0.77083333333333337</v>
      </c>
    </row>
    <row r="100" spans="1:37" x14ac:dyDescent="0.25">
      <c r="A100" s="271" t="s">
        <v>104</v>
      </c>
      <c r="B100" s="285">
        <f>-69-74</f>
        <v>-143</v>
      </c>
      <c r="C100" s="285">
        <f>-64.3-70.7</f>
        <v>-135</v>
      </c>
      <c r="D100" s="285">
        <f>-72-78</f>
        <v>-150</v>
      </c>
      <c r="E100" s="285">
        <f>-72.1-78.9</f>
        <v>-151</v>
      </c>
      <c r="F100" s="285">
        <f>-68.1-75.1</f>
        <v>-143.19999999999999</v>
      </c>
      <c r="G100" s="285">
        <v>-63.8</v>
      </c>
      <c r="H100" s="285">
        <f>-62.4-67.7</f>
        <v>-130.1</v>
      </c>
      <c r="I100" s="285"/>
      <c r="J100" s="285">
        <f>-51-56.1</f>
        <v>-107.1</v>
      </c>
      <c r="K100" s="285">
        <f>-36.4-38.9</f>
        <v>-75.3</v>
      </c>
      <c r="L100" s="285">
        <f>-35-38.1</f>
        <v>-73.099999999999994</v>
      </c>
      <c r="M100" s="285">
        <v>-68</v>
      </c>
      <c r="N100" s="285">
        <v>-70.2</v>
      </c>
      <c r="O100" s="285">
        <v>-59.4</v>
      </c>
      <c r="P100" s="285">
        <v>-80.2</v>
      </c>
      <c r="Q100" s="285">
        <v>-82.5</v>
      </c>
      <c r="R100" s="285">
        <v>-88.9</v>
      </c>
      <c r="S100" s="285">
        <f>-40-44</f>
        <v>-84</v>
      </c>
      <c r="T100" s="285">
        <v>-86</v>
      </c>
      <c r="U100" s="285">
        <v>-67</v>
      </c>
      <c r="V100" s="285">
        <v>-76</v>
      </c>
      <c r="W100" s="285">
        <v>-84</v>
      </c>
      <c r="X100" s="285">
        <v>-90</v>
      </c>
      <c r="Y100" s="285">
        <v>-80</v>
      </c>
      <c r="Z100" s="285">
        <v>-60</v>
      </c>
      <c r="AA100" s="285">
        <v>32</v>
      </c>
      <c r="AB100" s="285">
        <f>-17-23.5</f>
        <v>-40.5</v>
      </c>
      <c r="AC100" s="285">
        <f>-37.4-44.1</f>
        <v>-81.5</v>
      </c>
      <c r="AD100" s="285">
        <f>-41.7-50.2</f>
        <v>-91.9</v>
      </c>
      <c r="AE100" s="285">
        <f>-51.2-58.3</f>
        <v>-109.5</v>
      </c>
      <c r="AF100" s="285">
        <f>-65.2-73</f>
        <v>-138.19999999999999</v>
      </c>
      <c r="AG100" s="283">
        <v>240</v>
      </c>
      <c r="AH100" s="226">
        <f t="shared" si="24"/>
        <v>-151</v>
      </c>
      <c r="AI100" s="284">
        <f t="shared" si="25"/>
        <v>0.125</v>
      </c>
    </row>
    <row r="101" spans="1:37" x14ac:dyDescent="0.25">
      <c r="A101" s="271" t="s">
        <v>105</v>
      </c>
      <c r="B101" s="285">
        <v>-7.1</v>
      </c>
      <c r="C101" s="285">
        <v>-5.0999999999999996</v>
      </c>
      <c r="D101" s="285">
        <v>-7.7</v>
      </c>
      <c r="E101" s="285">
        <v>-7.2</v>
      </c>
      <c r="F101" s="285">
        <v>-6.6</v>
      </c>
      <c r="G101" s="285">
        <v>-3.1</v>
      </c>
      <c r="H101" s="285">
        <v>-1.4</v>
      </c>
      <c r="I101" s="285"/>
      <c r="J101" s="285">
        <v>3.7</v>
      </c>
      <c r="K101" s="285">
        <v>9.9</v>
      </c>
      <c r="L101" s="285">
        <v>8.5</v>
      </c>
      <c r="M101" s="285">
        <v>11.7</v>
      </c>
      <c r="N101" s="285">
        <v>11.8</v>
      </c>
      <c r="O101" s="285">
        <v>13</v>
      </c>
      <c r="P101" s="285">
        <v>9.9</v>
      </c>
      <c r="Q101" s="285">
        <v>7.3</v>
      </c>
      <c r="R101" s="285">
        <v>11.1</v>
      </c>
      <c r="S101" s="285">
        <v>11</v>
      </c>
      <c r="T101" s="285">
        <v>10</v>
      </c>
      <c r="U101" s="285">
        <v>13</v>
      </c>
      <c r="V101" s="285">
        <v>13.5</v>
      </c>
      <c r="W101" s="285">
        <v>12</v>
      </c>
      <c r="X101" s="285">
        <v>10</v>
      </c>
      <c r="Y101" s="285">
        <v>12</v>
      </c>
      <c r="Z101" s="285">
        <v>52</v>
      </c>
      <c r="AA101" s="285">
        <v>53</v>
      </c>
      <c r="AB101" s="285">
        <v>31.6</v>
      </c>
      <c r="AC101" s="285">
        <v>27.6</v>
      </c>
      <c r="AD101" s="285">
        <v>22.5</v>
      </c>
      <c r="AE101" s="285">
        <v>15.7</v>
      </c>
      <c r="AF101" s="285">
        <v>-0.7</v>
      </c>
      <c r="AG101" s="283">
        <v>60</v>
      </c>
      <c r="AH101" s="226">
        <f t="shared" si="24"/>
        <v>53</v>
      </c>
      <c r="AI101" s="284">
        <f t="shared" si="25"/>
        <v>0.8125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/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0</v>
      </c>
      <c r="P102" s="287">
        <v>67.900000000000006</v>
      </c>
      <c r="Q102" s="287">
        <v>46.2</v>
      </c>
      <c r="R102" s="287">
        <v>35.700000000000003</v>
      </c>
      <c r="S102" s="287">
        <v>49</v>
      </c>
      <c r="T102" s="287">
        <v>50</v>
      </c>
      <c r="U102" s="287">
        <v>72</v>
      </c>
      <c r="V102" s="287">
        <v>67</v>
      </c>
      <c r="W102" s="287">
        <v>55</v>
      </c>
      <c r="X102" s="287">
        <v>47</v>
      </c>
      <c r="Y102" s="287">
        <v>54</v>
      </c>
      <c r="Z102" s="287">
        <v>73</v>
      </c>
      <c r="AA102" s="287">
        <v>33</v>
      </c>
      <c r="AB102" s="287">
        <v>5.3</v>
      </c>
      <c r="AC102" s="287">
        <v>66.5</v>
      </c>
      <c r="AD102" s="287">
        <v>47.4</v>
      </c>
      <c r="AE102" s="287">
        <v>0</v>
      </c>
      <c r="AF102" s="287">
        <v>0</v>
      </c>
      <c r="AG102" s="288">
        <v>120</v>
      </c>
      <c r="AH102" s="226">
        <f t="shared" si="24"/>
        <v>73</v>
      </c>
      <c r="AI102" s="284">
        <f t="shared" si="25"/>
        <v>0.79166666666666663</v>
      </c>
    </row>
    <row r="103" spans="1:37" x14ac:dyDescent="0.25">
      <c r="A103" s="286" t="s">
        <v>107</v>
      </c>
      <c r="B103" s="287">
        <v>36</v>
      </c>
      <c r="C103" s="287">
        <v>43.3</v>
      </c>
      <c r="D103" s="287">
        <v>31</v>
      </c>
      <c r="E103" s="287">
        <v>28.2</v>
      </c>
      <c r="F103" s="287">
        <v>22.2</v>
      </c>
      <c r="G103" s="287">
        <v>29.9</v>
      </c>
      <c r="H103" s="287">
        <v>30.5</v>
      </c>
      <c r="I103" s="287"/>
      <c r="J103" s="287">
        <v>13.2</v>
      </c>
      <c r="K103" s="287">
        <v>48.5</v>
      </c>
      <c r="L103" s="287">
        <v>31.2</v>
      </c>
      <c r="M103" s="287">
        <v>48.3</v>
      </c>
      <c r="N103" s="287">
        <v>47.7</v>
      </c>
      <c r="O103" s="287">
        <v>73.400000000000006</v>
      </c>
      <c r="P103" s="287">
        <v>64.7</v>
      </c>
      <c r="Q103" s="287">
        <v>42.8</v>
      </c>
      <c r="R103" s="287">
        <v>36</v>
      </c>
      <c r="S103" s="287">
        <v>55</v>
      </c>
      <c r="T103" s="287">
        <v>55</v>
      </c>
      <c r="U103" s="287">
        <v>68</v>
      </c>
      <c r="V103" s="287">
        <v>69</v>
      </c>
      <c r="W103" s="287">
        <v>58</v>
      </c>
      <c r="X103" s="287">
        <v>53</v>
      </c>
      <c r="Y103" s="287">
        <v>54</v>
      </c>
      <c r="Z103" s="287">
        <v>70</v>
      </c>
      <c r="AA103" s="287">
        <v>74</v>
      </c>
      <c r="AB103" s="287">
        <v>85</v>
      </c>
      <c r="AC103" s="287">
        <v>67.599999999999994</v>
      </c>
      <c r="AD103" s="287">
        <v>50.5</v>
      </c>
      <c r="AE103" s="287">
        <v>53</v>
      </c>
      <c r="AF103" s="287">
        <v>29</v>
      </c>
      <c r="AG103" s="288"/>
      <c r="AH103" s="226">
        <f t="shared" si="24"/>
        <v>85</v>
      </c>
      <c r="AI103" s="284">
        <f t="shared" si="25"/>
        <v>0.83333333333333337</v>
      </c>
    </row>
    <row r="104" spans="1:37" x14ac:dyDescent="0.25">
      <c r="A104" s="286" t="s">
        <v>108</v>
      </c>
      <c r="B104" s="287">
        <v>43.1</v>
      </c>
      <c r="C104" s="287">
        <v>62.4</v>
      </c>
      <c r="D104" s="287">
        <v>64</v>
      </c>
      <c r="E104" s="287">
        <v>56.7</v>
      </c>
      <c r="F104" s="287">
        <v>70.2</v>
      </c>
      <c r="G104" s="287">
        <v>71</v>
      </c>
      <c r="H104" s="287">
        <v>55</v>
      </c>
      <c r="I104" s="287"/>
      <c r="J104" s="287">
        <v>-24.2</v>
      </c>
      <c r="K104" s="287">
        <v>1.5</v>
      </c>
      <c r="L104" s="287">
        <v>-20.100000000000001</v>
      </c>
      <c r="M104" s="287">
        <v>1.2</v>
      </c>
      <c r="N104" s="287">
        <v>-8.6</v>
      </c>
      <c r="O104" s="287">
        <v>-9.8000000000000007</v>
      </c>
      <c r="P104" s="287">
        <v>10.8</v>
      </c>
      <c r="Q104" s="287">
        <v>5.2</v>
      </c>
      <c r="R104" s="287">
        <v>3.6</v>
      </c>
      <c r="S104" s="287">
        <v>16</v>
      </c>
      <c r="T104" s="287">
        <v>7.6</v>
      </c>
      <c r="U104" s="287">
        <v>36</v>
      </c>
      <c r="V104" s="287">
        <v>31</v>
      </c>
      <c r="W104" s="287">
        <v>26</v>
      </c>
      <c r="X104" s="287">
        <v>20</v>
      </c>
      <c r="Y104" s="287">
        <v>15</v>
      </c>
      <c r="Z104" s="287">
        <v>43</v>
      </c>
      <c r="AA104" s="287">
        <v>61</v>
      </c>
      <c r="AB104" s="287">
        <v>61.8</v>
      </c>
      <c r="AC104" s="287">
        <v>66.5</v>
      </c>
      <c r="AD104" s="287">
        <v>52.1</v>
      </c>
      <c r="AE104" s="287">
        <v>39.299999999999997</v>
      </c>
      <c r="AF104" s="287">
        <v>46.3</v>
      </c>
      <c r="AG104" s="289"/>
      <c r="AH104" s="226">
        <f t="shared" si="24"/>
        <v>71</v>
      </c>
      <c r="AI104" s="284">
        <f t="shared" si="25"/>
        <v>0.20833333333333301</v>
      </c>
    </row>
    <row r="105" spans="1:37" x14ac:dyDescent="0.25">
      <c r="A105" s="290" t="s">
        <v>109</v>
      </c>
      <c r="B105" s="274">
        <v>87</v>
      </c>
      <c r="C105" s="274">
        <v>89</v>
      </c>
      <c r="D105" s="274">
        <v>93</v>
      </c>
      <c r="E105" s="274">
        <v>91.8</v>
      </c>
      <c r="F105" s="274">
        <v>94</v>
      </c>
      <c r="G105" s="274">
        <v>97.1</v>
      </c>
      <c r="H105" s="274">
        <v>99.1</v>
      </c>
      <c r="I105" s="274"/>
      <c r="J105" s="274">
        <v>94.2</v>
      </c>
      <c r="K105" s="274">
        <v>92.7</v>
      </c>
      <c r="L105" s="274">
        <v>88.5</v>
      </c>
      <c r="M105" s="274">
        <v>82</v>
      </c>
      <c r="N105" s="274">
        <v>83.2</v>
      </c>
      <c r="O105" s="274">
        <v>82</v>
      </c>
      <c r="P105" s="274">
        <v>84.2</v>
      </c>
      <c r="Q105" s="274">
        <v>80.3</v>
      </c>
      <c r="R105" s="274"/>
      <c r="S105" s="274">
        <v>77</v>
      </c>
      <c r="T105" s="274">
        <v>93</v>
      </c>
      <c r="U105" s="274">
        <v>88</v>
      </c>
      <c r="V105" s="274">
        <v>88</v>
      </c>
      <c r="W105" s="274">
        <v>85</v>
      </c>
      <c r="X105" s="274">
        <v>78</v>
      </c>
      <c r="Y105" s="274">
        <v>78</v>
      </c>
      <c r="Z105" s="274">
        <v>75</v>
      </c>
      <c r="AA105" s="274">
        <v>62</v>
      </c>
      <c r="AB105" s="274">
        <v>77</v>
      </c>
      <c r="AC105" s="274">
        <v>82.3</v>
      </c>
      <c r="AD105" s="274">
        <v>83</v>
      </c>
      <c r="AE105" s="274">
        <v>89.2</v>
      </c>
      <c r="AF105" s="274">
        <v>88.2</v>
      </c>
      <c r="AG105" s="289"/>
      <c r="AH105" s="226">
        <f t="shared" si="24"/>
        <v>99.1</v>
      </c>
      <c r="AI105" s="284">
        <f t="shared" si="25"/>
        <v>0.22916666666666666</v>
      </c>
    </row>
    <row r="106" spans="1:37" ht="15.75" thickBot="1" x14ac:dyDescent="0.3">
      <c r="A106" s="290" t="s">
        <v>110</v>
      </c>
      <c r="B106" s="274">
        <v>89</v>
      </c>
      <c r="C106" s="274">
        <v>83.2</v>
      </c>
      <c r="D106" s="274">
        <v>94</v>
      </c>
      <c r="E106" s="274">
        <v>98.9</v>
      </c>
      <c r="F106" s="274">
        <v>91</v>
      </c>
      <c r="G106" s="274">
        <v>84</v>
      </c>
      <c r="H106" s="274">
        <v>83.3</v>
      </c>
      <c r="I106" s="274"/>
      <c r="J106" s="274">
        <v>83.9</v>
      </c>
      <c r="K106" s="274">
        <v>53.7</v>
      </c>
      <c r="L106" s="274">
        <v>50.3</v>
      </c>
      <c r="M106" s="274">
        <v>43</v>
      </c>
      <c r="N106" s="274">
        <v>49.7</v>
      </c>
      <c r="O106" s="274">
        <v>40.700000000000003</v>
      </c>
      <c r="P106" s="274">
        <v>51.4</v>
      </c>
      <c r="Q106" s="274">
        <v>53.9</v>
      </c>
      <c r="R106" s="274">
        <v>53.1</v>
      </c>
      <c r="S106" s="274">
        <v>48</v>
      </c>
      <c r="T106" s="274">
        <v>50</v>
      </c>
      <c r="U106" s="274">
        <v>33.700000000000003</v>
      </c>
      <c r="V106" s="274">
        <v>38</v>
      </c>
      <c r="W106" s="274">
        <v>47</v>
      </c>
      <c r="X106" s="274">
        <v>57</v>
      </c>
      <c r="Y106" s="274">
        <v>54</v>
      </c>
      <c r="Z106" s="274">
        <v>48</v>
      </c>
      <c r="AA106" s="274">
        <v>52</v>
      </c>
      <c r="AB106" s="274">
        <v>54</v>
      </c>
      <c r="AC106" s="274">
        <v>57.6</v>
      </c>
      <c r="AD106" s="274">
        <v>67.2</v>
      </c>
      <c r="AE106" s="274">
        <v>79</v>
      </c>
      <c r="AF106" s="274">
        <v>87</v>
      </c>
      <c r="AG106" s="289"/>
      <c r="AH106" s="226">
        <f t="shared" si="24"/>
        <v>98.9</v>
      </c>
      <c r="AI106" s="284">
        <f t="shared" si="25"/>
        <v>0.125</v>
      </c>
    </row>
    <row r="107" spans="1:37" ht="15.75" thickBot="1" x14ac:dyDescent="0.3">
      <c r="A107" s="291" t="s">
        <v>111</v>
      </c>
      <c r="B107" s="292"/>
      <c r="C107" s="292"/>
      <c r="D107" s="352" t="s">
        <v>248</v>
      </c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6">SUM(C108:C212)</f>
        <v>0</v>
      </c>
      <c r="D213" s="307">
        <f t="shared" si="26"/>
        <v>0</v>
      </c>
      <c r="E213" s="307">
        <f t="shared" si="26"/>
        <v>0</v>
      </c>
      <c r="F213" s="307">
        <f t="shared" si="26"/>
        <v>0</v>
      </c>
      <c r="G213" s="307">
        <f t="shared" si="26"/>
        <v>0</v>
      </c>
      <c r="H213" s="307">
        <f t="shared" si="26"/>
        <v>0</v>
      </c>
      <c r="I213" s="307">
        <f t="shared" si="26"/>
        <v>0</v>
      </c>
      <c r="J213" s="307">
        <f t="shared" si="26"/>
        <v>0</v>
      </c>
      <c r="K213" s="307">
        <f t="shared" si="26"/>
        <v>0</v>
      </c>
      <c r="L213" s="307">
        <f t="shared" si="26"/>
        <v>0</v>
      </c>
      <c r="M213" s="307">
        <f t="shared" si="26"/>
        <v>0</v>
      </c>
      <c r="N213" s="307">
        <f t="shared" si="26"/>
        <v>0</v>
      </c>
      <c r="O213" s="307">
        <f t="shared" si="26"/>
        <v>0</v>
      </c>
      <c r="P213" s="307">
        <f t="shared" si="26"/>
        <v>0</v>
      </c>
      <c r="Q213" s="307">
        <f t="shared" si="26"/>
        <v>0</v>
      </c>
      <c r="R213" s="307">
        <f t="shared" si="26"/>
        <v>0</v>
      </c>
      <c r="S213" s="307">
        <f t="shared" si="26"/>
        <v>0</v>
      </c>
      <c r="T213" s="307">
        <f t="shared" si="26"/>
        <v>0</v>
      </c>
      <c r="U213" s="307">
        <f t="shared" si="26"/>
        <v>0</v>
      </c>
      <c r="V213" s="307">
        <f t="shared" si="26"/>
        <v>0</v>
      </c>
      <c r="W213" s="307">
        <f t="shared" si="26"/>
        <v>0</v>
      </c>
      <c r="X213" s="307">
        <f t="shared" si="26"/>
        <v>0</v>
      </c>
      <c r="Y213" s="307">
        <f t="shared" si="26"/>
        <v>0</v>
      </c>
      <c r="Z213" s="307">
        <f t="shared" si="26"/>
        <v>0</v>
      </c>
      <c r="AA213" s="307">
        <f t="shared" si="26"/>
        <v>0</v>
      </c>
      <c r="AB213" s="307">
        <f t="shared" si="26"/>
        <v>0</v>
      </c>
      <c r="AC213" s="307">
        <f t="shared" si="26"/>
        <v>0</v>
      </c>
      <c r="AD213" s="307">
        <f t="shared" si="26"/>
        <v>0</v>
      </c>
      <c r="AE213" s="307">
        <f t="shared" si="26"/>
        <v>0</v>
      </c>
      <c r="AF213" s="308">
        <f t="shared" si="26"/>
        <v>0</v>
      </c>
      <c r="AG213" s="309">
        <f t="shared" si="26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7">AF215</f>
        <v>0</v>
      </c>
      <c r="C215" s="312">
        <v>0.3</v>
      </c>
      <c r="D215" s="312">
        <f t="shared" ref="D215:P220" si="28">C215</f>
        <v>0.3</v>
      </c>
      <c r="E215" s="312">
        <f t="shared" si="28"/>
        <v>0.3</v>
      </c>
      <c r="F215" s="312">
        <f t="shared" si="28"/>
        <v>0.3</v>
      </c>
      <c r="G215" s="312">
        <f t="shared" si="28"/>
        <v>0.3</v>
      </c>
      <c r="H215" s="312">
        <f t="shared" si="28"/>
        <v>0.3</v>
      </c>
      <c r="I215" s="312">
        <f t="shared" si="28"/>
        <v>0.3</v>
      </c>
      <c r="J215" s="312">
        <f t="shared" si="28"/>
        <v>0.3</v>
      </c>
      <c r="K215" s="312">
        <f t="shared" si="28"/>
        <v>0.3</v>
      </c>
      <c r="L215" s="312">
        <f t="shared" si="28"/>
        <v>0.3</v>
      </c>
      <c r="M215" s="312">
        <f t="shared" si="28"/>
        <v>0.3</v>
      </c>
      <c r="N215" s="312">
        <f t="shared" si="28"/>
        <v>0.3</v>
      </c>
      <c r="O215" s="312">
        <f t="shared" si="28"/>
        <v>0.3</v>
      </c>
      <c r="P215" s="312">
        <f t="shared" si="28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7"/>
        <v>0</v>
      </c>
      <c r="C216" s="299">
        <v>0.4</v>
      </c>
      <c r="D216" s="299">
        <f t="shared" si="28"/>
        <v>0.4</v>
      </c>
      <c r="E216" s="299">
        <f t="shared" si="28"/>
        <v>0.4</v>
      </c>
      <c r="F216" s="299">
        <f t="shared" si="28"/>
        <v>0.4</v>
      </c>
      <c r="G216" s="299">
        <f t="shared" si="28"/>
        <v>0.4</v>
      </c>
      <c r="H216" s="299">
        <f t="shared" si="28"/>
        <v>0.4</v>
      </c>
      <c r="I216" s="299">
        <f t="shared" si="28"/>
        <v>0.4</v>
      </c>
      <c r="J216" s="299">
        <f t="shared" si="28"/>
        <v>0.4</v>
      </c>
      <c r="K216" s="299">
        <f t="shared" si="28"/>
        <v>0.4</v>
      </c>
      <c r="L216" s="299">
        <f t="shared" si="28"/>
        <v>0.4</v>
      </c>
      <c r="M216" s="299">
        <f t="shared" si="28"/>
        <v>0.4</v>
      </c>
      <c r="N216" s="299">
        <f t="shared" si="28"/>
        <v>0.4</v>
      </c>
      <c r="O216" s="299">
        <f t="shared" si="28"/>
        <v>0.4</v>
      </c>
      <c r="P216" s="299">
        <f t="shared" si="28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7"/>
        <v>0</v>
      </c>
      <c r="C217" s="299">
        <v>1.5</v>
      </c>
      <c r="D217" s="299">
        <f t="shared" si="28"/>
        <v>1.5</v>
      </c>
      <c r="E217" s="299">
        <f t="shared" si="28"/>
        <v>1.5</v>
      </c>
      <c r="F217" s="299">
        <f t="shared" si="28"/>
        <v>1.5</v>
      </c>
      <c r="G217" s="299">
        <f t="shared" si="28"/>
        <v>1.5</v>
      </c>
      <c r="H217" s="299">
        <f t="shared" si="28"/>
        <v>1.5</v>
      </c>
      <c r="I217" s="299">
        <f t="shared" si="28"/>
        <v>1.5</v>
      </c>
      <c r="J217" s="299">
        <f t="shared" si="28"/>
        <v>1.5</v>
      </c>
      <c r="K217" s="299">
        <f t="shared" si="28"/>
        <v>1.5</v>
      </c>
      <c r="L217" s="299">
        <f t="shared" si="28"/>
        <v>1.5</v>
      </c>
      <c r="M217" s="299">
        <f t="shared" si="28"/>
        <v>1.5</v>
      </c>
      <c r="N217" s="299">
        <f t="shared" si="28"/>
        <v>1.5</v>
      </c>
      <c r="O217" s="299">
        <f t="shared" si="28"/>
        <v>1.5</v>
      </c>
      <c r="P217" s="299">
        <f t="shared" si="28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7"/>
        <v>0</v>
      </c>
      <c r="C218" s="299">
        <v>0.3</v>
      </c>
      <c r="D218" s="299">
        <f t="shared" si="28"/>
        <v>0.3</v>
      </c>
      <c r="E218" s="299">
        <f t="shared" si="28"/>
        <v>0.3</v>
      </c>
      <c r="F218" s="299">
        <f t="shared" si="28"/>
        <v>0.3</v>
      </c>
      <c r="G218" s="299">
        <f t="shared" si="28"/>
        <v>0.3</v>
      </c>
      <c r="H218" s="299">
        <f t="shared" si="28"/>
        <v>0.3</v>
      </c>
      <c r="I218" s="299">
        <f t="shared" si="28"/>
        <v>0.3</v>
      </c>
      <c r="J218" s="299">
        <f t="shared" si="28"/>
        <v>0.3</v>
      </c>
      <c r="K218" s="299">
        <f t="shared" si="28"/>
        <v>0.3</v>
      </c>
      <c r="L218" s="299">
        <f t="shared" si="28"/>
        <v>0.3</v>
      </c>
      <c r="M218" s="299">
        <f t="shared" si="28"/>
        <v>0.3</v>
      </c>
      <c r="N218" s="299">
        <f t="shared" si="28"/>
        <v>0.3</v>
      </c>
      <c r="O218" s="299">
        <f t="shared" si="28"/>
        <v>0.3</v>
      </c>
      <c r="P218" s="299">
        <f t="shared" si="28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7"/>
        <v>0</v>
      </c>
      <c r="C219" s="299">
        <v>0.4</v>
      </c>
      <c r="D219" s="299">
        <f t="shared" si="28"/>
        <v>0.4</v>
      </c>
      <c r="E219" s="299">
        <f t="shared" si="28"/>
        <v>0.4</v>
      </c>
      <c r="F219" s="299">
        <f t="shared" si="28"/>
        <v>0.4</v>
      </c>
      <c r="G219" s="299">
        <f t="shared" si="28"/>
        <v>0.4</v>
      </c>
      <c r="H219" s="299">
        <f t="shared" si="28"/>
        <v>0.4</v>
      </c>
      <c r="I219" s="299">
        <f t="shared" si="28"/>
        <v>0.4</v>
      </c>
      <c r="J219" s="299">
        <f t="shared" si="28"/>
        <v>0.4</v>
      </c>
      <c r="K219" s="299">
        <f t="shared" si="28"/>
        <v>0.4</v>
      </c>
      <c r="L219" s="299">
        <f t="shared" si="28"/>
        <v>0.4</v>
      </c>
      <c r="M219" s="299">
        <f t="shared" si="28"/>
        <v>0.4</v>
      </c>
      <c r="N219" s="299">
        <f t="shared" si="28"/>
        <v>0.4</v>
      </c>
      <c r="O219" s="299">
        <f t="shared" si="28"/>
        <v>0.4</v>
      </c>
      <c r="P219" s="299">
        <f t="shared" si="28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7"/>
        <v>0</v>
      </c>
      <c r="C220" s="303">
        <v>0.64</v>
      </c>
      <c r="D220" s="303">
        <f t="shared" si="28"/>
        <v>0.64</v>
      </c>
      <c r="E220" s="303">
        <f t="shared" si="28"/>
        <v>0.64</v>
      </c>
      <c r="F220" s="303">
        <f t="shared" si="28"/>
        <v>0.64</v>
      </c>
      <c r="G220" s="303">
        <f t="shared" si="28"/>
        <v>0.64</v>
      </c>
      <c r="H220" s="303">
        <f t="shared" si="28"/>
        <v>0.64</v>
      </c>
      <c r="I220" s="303">
        <f t="shared" si="28"/>
        <v>0.64</v>
      </c>
      <c r="J220" s="303">
        <f t="shared" si="28"/>
        <v>0.64</v>
      </c>
      <c r="K220" s="303">
        <f t="shared" si="28"/>
        <v>0.64</v>
      </c>
      <c r="L220" s="303">
        <f t="shared" si="28"/>
        <v>0.64</v>
      </c>
      <c r="M220" s="303">
        <f t="shared" si="28"/>
        <v>0.64</v>
      </c>
      <c r="N220" s="303">
        <f t="shared" si="28"/>
        <v>0.64</v>
      </c>
      <c r="O220" s="303">
        <f t="shared" si="28"/>
        <v>0.64</v>
      </c>
      <c r="P220" s="303">
        <f t="shared" si="28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9">SUM(D215:D220)</f>
        <v>3.54</v>
      </c>
      <c r="E221" s="307">
        <f t="shared" si="29"/>
        <v>3.54</v>
      </c>
      <c r="F221" s="307">
        <f t="shared" si="29"/>
        <v>3.54</v>
      </c>
      <c r="G221" s="307">
        <f t="shared" si="29"/>
        <v>3.54</v>
      </c>
      <c r="H221" s="307">
        <f t="shared" si="29"/>
        <v>3.54</v>
      </c>
      <c r="I221" s="307">
        <f t="shared" si="29"/>
        <v>3.54</v>
      </c>
      <c r="J221" s="307">
        <f t="shared" si="29"/>
        <v>3.54</v>
      </c>
      <c r="K221" s="307">
        <f t="shared" si="29"/>
        <v>3.54</v>
      </c>
      <c r="L221" s="307">
        <f t="shared" si="29"/>
        <v>3.54</v>
      </c>
      <c r="M221" s="307">
        <f>SUM(M215:M220)</f>
        <v>3.54</v>
      </c>
      <c r="N221" s="307">
        <f t="shared" ref="N221:S221" si="30">SUM(N215:N220)</f>
        <v>3.54</v>
      </c>
      <c r="O221" s="307">
        <f t="shared" si="30"/>
        <v>3.54</v>
      </c>
      <c r="P221" s="307">
        <f t="shared" si="30"/>
        <v>3.54</v>
      </c>
      <c r="Q221" s="307">
        <f t="shared" si="30"/>
        <v>0</v>
      </c>
      <c r="R221" s="307">
        <f t="shared" si="30"/>
        <v>0</v>
      </c>
      <c r="S221" s="307">
        <f t="shared" si="30"/>
        <v>0</v>
      </c>
      <c r="T221" s="307">
        <f>SUM(T215:T220)</f>
        <v>0</v>
      </c>
      <c r="U221" s="307">
        <f t="shared" ref="U221:AG221" si="31">SUM(U215:U220)</f>
        <v>0</v>
      </c>
      <c r="V221" s="307">
        <f t="shared" si="31"/>
        <v>0</v>
      </c>
      <c r="W221" s="307">
        <f t="shared" si="31"/>
        <v>0</v>
      </c>
      <c r="X221" s="307">
        <f t="shared" si="31"/>
        <v>0</v>
      </c>
      <c r="Y221" s="307">
        <f t="shared" si="31"/>
        <v>0</v>
      </c>
      <c r="Z221" s="307">
        <f t="shared" si="31"/>
        <v>0</v>
      </c>
      <c r="AA221" s="307">
        <f t="shared" si="31"/>
        <v>0</v>
      </c>
      <c r="AB221" s="307">
        <f t="shared" si="31"/>
        <v>0</v>
      </c>
      <c r="AC221" s="307">
        <f t="shared" si="31"/>
        <v>0</v>
      </c>
      <c r="AD221" s="307">
        <f t="shared" si="31"/>
        <v>0</v>
      </c>
      <c r="AE221" s="307">
        <f t="shared" si="31"/>
        <v>0</v>
      </c>
      <c r="AF221" s="307">
        <f t="shared" si="31"/>
        <v>0</v>
      </c>
      <c r="AG221" s="317">
        <f t="shared" si="31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1810.8399999999997</v>
      </c>
      <c r="C230" s="333">
        <f>INDEX(G9:N9,1,MATCH(MAX(G79:N79),G79:N79,0))</f>
        <v>0.27083333333333331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9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2079/02/9)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2079/02/9)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2">B79</f>
        <v>1823.5399999999997</v>
      </c>
      <c r="U235" s="343">
        <f t="shared" si="32"/>
        <v>1799.8399999999997</v>
      </c>
      <c r="V235" s="343">
        <f t="shared" si="32"/>
        <v>1796.8399999999997</v>
      </c>
      <c r="W235" s="343">
        <f t="shared" si="32"/>
        <v>1795.9399999999996</v>
      </c>
      <c r="X235" s="343">
        <f t="shared" si="32"/>
        <v>1697.8399999999997</v>
      </c>
      <c r="Y235" s="343">
        <f t="shared" si="32"/>
        <v>1789.5399999999997</v>
      </c>
      <c r="Z235" s="343">
        <f t="shared" si="32"/>
        <v>1804.0399999999997</v>
      </c>
      <c r="AA235" s="343">
        <f t="shared" si="32"/>
        <v>3.54</v>
      </c>
      <c r="AB235" s="343">
        <f t="shared" si="32"/>
        <v>1810.8399999999997</v>
      </c>
      <c r="AC235" s="343">
        <f t="shared" si="32"/>
        <v>1799.04</v>
      </c>
      <c r="AD235" s="343">
        <f t="shared" si="32"/>
        <v>1745.1399999999999</v>
      </c>
      <c r="AE235" s="343">
        <f t="shared" si="32"/>
        <v>1762.2399999999998</v>
      </c>
      <c r="AF235" s="343">
        <f t="shared" si="32"/>
        <v>1770.34</v>
      </c>
      <c r="AG235" s="343">
        <f t="shared" si="32"/>
        <v>1772.5399999999997</v>
      </c>
      <c r="AH235" s="343">
        <f t="shared" si="32"/>
        <v>1863.0399999999997</v>
      </c>
      <c r="AI235" s="343">
        <f t="shared" si="32"/>
        <v>1863.1399999999999</v>
      </c>
      <c r="AJ235" s="343">
        <f t="shared" si="32"/>
        <v>1838.84</v>
      </c>
      <c r="AK235" s="343">
        <f t="shared" si="32"/>
        <v>1865.34</v>
      </c>
      <c r="AL235" s="343">
        <f t="shared" si="32"/>
        <v>1866.34</v>
      </c>
      <c r="AM235" s="343">
        <f t="shared" si="32"/>
        <v>1842.34</v>
      </c>
      <c r="AN235" s="343">
        <f t="shared" si="32"/>
        <v>1849.34</v>
      </c>
      <c r="AO235" s="343">
        <f t="shared" si="32"/>
        <v>1840.34</v>
      </c>
      <c r="AP235" s="343">
        <f t="shared" si="32"/>
        <v>1838.34</v>
      </c>
      <c r="AQ235" s="343">
        <f t="shared" si="32"/>
        <v>1841.34</v>
      </c>
      <c r="AR235" s="343">
        <f t="shared" si="32"/>
        <v>1914.34</v>
      </c>
      <c r="AS235" s="343">
        <f t="shared" si="32"/>
        <v>1976.2399999999998</v>
      </c>
      <c r="AT235" s="343">
        <f t="shared" si="32"/>
        <v>1939.8400000000001</v>
      </c>
      <c r="AU235" s="343">
        <f t="shared" si="32"/>
        <v>1930.9399999999998</v>
      </c>
      <c r="AV235" s="343">
        <f t="shared" si="32"/>
        <v>1934.34</v>
      </c>
      <c r="AW235" s="343">
        <f t="shared" si="32"/>
        <v>1917.34</v>
      </c>
      <c r="AX235" s="343">
        <f t="shared" si="32"/>
        <v>1879.9399999999998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3">C220</f>
        <v>0.64</v>
      </c>
      <c r="C256" s="346">
        <f t="shared" si="33"/>
        <v>0.64</v>
      </c>
      <c r="D256" s="346">
        <f t="shared" si="33"/>
        <v>0.64</v>
      </c>
      <c r="E256" s="346">
        <f t="shared" si="33"/>
        <v>0.64</v>
      </c>
      <c r="F256" s="346">
        <f t="shared" si="33"/>
        <v>0.64</v>
      </c>
      <c r="G256" s="346">
        <f t="shared" si="33"/>
        <v>0.64</v>
      </c>
      <c r="H256" s="346">
        <f t="shared" si="33"/>
        <v>0.64</v>
      </c>
      <c r="I256" s="346">
        <f t="shared" si="33"/>
        <v>0.64</v>
      </c>
      <c r="J256" s="346">
        <f t="shared" si="33"/>
        <v>0.64</v>
      </c>
      <c r="K256" s="346">
        <f t="shared" si="33"/>
        <v>0.64</v>
      </c>
      <c r="L256" s="346">
        <f t="shared" si="33"/>
        <v>0.64</v>
      </c>
      <c r="M256" s="346">
        <f t="shared" si="33"/>
        <v>0.64</v>
      </c>
      <c r="N256" s="346">
        <f t="shared" si="33"/>
        <v>0.64</v>
      </c>
      <c r="O256" s="346">
        <f t="shared" si="33"/>
        <v>0.64</v>
      </c>
      <c r="P256" s="346">
        <f t="shared" si="33"/>
        <v>0</v>
      </c>
      <c r="Q256" s="346">
        <f t="shared" si="33"/>
        <v>0</v>
      </c>
      <c r="R256" s="346">
        <f t="shared" si="33"/>
        <v>0</v>
      </c>
      <c r="S256" s="346">
        <f t="shared" si="33"/>
        <v>0</v>
      </c>
      <c r="T256" s="346">
        <f t="shared" si="33"/>
        <v>0</v>
      </c>
      <c r="U256" s="346">
        <f t="shared" si="33"/>
        <v>0</v>
      </c>
      <c r="V256" s="346">
        <f t="shared" si="33"/>
        <v>0</v>
      </c>
      <c r="W256" s="346">
        <f t="shared" si="33"/>
        <v>0</v>
      </c>
      <c r="X256" s="346">
        <f t="shared" si="33"/>
        <v>0</v>
      </c>
      <c r="Y256" s="346">
        <f t="shared" si="33"/>
        <v>0</v>
      </c>
      <c r="Z256" s="346">
        <f t="shared" si="33"/>
        <v>0</v>
      </c>
      <c r="AA256" s="346">
        <f t="shared" si="33"/>
        <v>0</v>
      </c>
      <c r="AB256" s="346">
        <f t="shared" si="33"/>
        <v>0</v>
      </c>
      <c r="AC256" s="346">
        <f t="shared" si="33"/>
        <v>0</v>
      </c>
      <c r="AD256" s="346">
        <f t="shared" si="33"/>
        <v>0</v>
      </c>
      <c r="AE256" s="346">
        <f t="shared" si="33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4">IF(C224&lt;100,"",C224-520)</f>
        <v/>
      </c>
      <c r="D257" s="347" t="str">
        <f t="shared" si="34"/>
        <v/>
      </c>
      <c r="E257" s="347" t="str">
        <f t="shared" si="34"/>
        <v/>
      </c>
      <c r="F257" s="347" t="str">
        <f t="shared" si="34"/>
        <v/>
      </c>
      <c r="G257" s="347" t="str">
        <f t="shared" si="34"/>
        <v/>
      </c>
      <c r="H257" s="347" t="str">
        <f t="shared" si="34"/>
        <v/>
      </c>
      <c r="I257" s="347" t="str">
        <f t="shared" si="34"/>
        <v/>
      </c>
      <c r="J257" s="347" t="str">
        <f t="shared" si="34"/>
        <v/>
      </c>
      <c r="K257" s="347" t="str">
        <f t="shared" si="34"/>
        <v/>
      </c>
      <c r="L257" s="347" t="str">
        <f t="shared" si="34"/>
        <v/>
      </c>
      <c r="M257" s="347" t="str">
        <f t="shared" si="34"/>
        <v/>
      </c>
      <c r="N257" s="347" t="str">
        <f t="shared" si="34"/>
        <v/>
      </c>
      <c r="O257" s="347" t="str">
        <f t="shared" si="34"/>
        <v/>
      </c>
      <c r="P257" s="347" t="str">
        <f t="shared" si="34"/>
        <v/>
      </c>
      <c r="Q257" s="347" t="str">
        <f t="shared" si="34"/>
        <v/>
      </c>
      <c r="R257" s="347" t="str">
        <f t="shared" si="34"/>
        <v/>
      </c>
      <c r="S257" s="347" t="str">
        <f t="shared" si="34"/>
        <v/>
      </c>
      <c r="T257" s="347" t="str">
        <f t="shared" si="34"/>
        <v/>
      </c>
      <c r="U257" s="347" t="str">
        <f t="shared" si="34"/>
        <v/>
      </c>
      <c r="V257" s="347" t="str">
        <f t="shared" si="34"/>
        <v/>
      </c>
      <c r="W257" s="347" t="str">
        <f t="shared" si="34"/>
        <v/>
      </c>
      <c r="X257" s="347" t="str">
        <f t="shared" si="34"/>
        <v/>
      </c>
      <c r="Y257" s="347" t="str">
        <f t="shared" si="34"/>
        <v/>
      </c>
      <c r="Z257" s="347" t="str">
        <f t="shared" si="34"/>
        <v/>
      </c>
      <c r="AA257" s="347" t="str">
        <f t="shared" si="34"/>
        <v/>
      </c>
      <c r="AB257" s="347" t="str">
        <f t="shared" si="34"/>
        <v/>
      </c>
      <c r="AC257" s="347" t="str">
        <f t="shared" si="34"/>
        <v/>
      </c>
      <c r="AD257" s="347" t="str">
        <f t="shared" si="34"/>
        <v/>
      </c>
      <c r="AE257" s="347" t="str">
        <f t="shared" si="34"/>
        <v/>
      </c>
      <c r="AF257" s="347" t="str">
        <f t="shared" si="34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5">IF(B225&lt;100,"",B225-620)</f>
        <v/>
      </c>
      <c r="C258" s="347" t="str">
        <f t="shared" si="35"/>
        <v/>
      </c>
      <c r="D258" s="347" t="str">
        <f t="shared" si="35"/>
        <v/>
      </c>
      <c r="E258" s="347" t="str">
        <f t="shared" si="35"/>
        <v/>
      </c>
      <c r="F258" s="347" t="str">
        <f t="shared" si="35"/>
        <v/>
      </c>
      <c r="G258" s="347" t="str">
        <f t="shared" si="35"/>
        <v/>
      </c>
      <c r="H258" s="347" t="str">
        <f t="shared" si="35"/>
        <v/>
      </c>
      <c r="I258" s="347" t="str">
        <f t="shared" si="35"/>
        <v/>
      </c>
      <c r="J258" s="347" t="str">
        <f t="shared" si="35"/>
        <v/>
      </c>
      <c r="K258" s="347" t="str">
        <f t="shared" si="35"/>
        <v/>
      </c>
      <c r="L258" s="347" t="str">
        <f t="shared" si="35"/>
        <v/>
      </c>
      <c r="M258" s="347" t="str">
        <f t="shared" si="35"/>
        <v/>
      </c>
      <c r="N258" s="347" t="str">
        <f t="shared" si="35"/>
        <v/>
      </c>
      <c r="O258" s="347" t="str">
        <f t="shared" si="35"/>
        <v/>
      </c>
      <c r="P258" s="347" t="str">
        <f t="shared" si="35"/>
        <v/>
      </c>
      <c r="Q258" s="347" t="str">
        <f t="shared" si="35"/>
        <v/>
      </c>
      <c r="R258" s="347" t="str">
        <f t="shared" si="35"/>
        <v/>
      </c>
      <c r="S258" s="347" t="str">
        <f t="shared" si="35"/>
        <v/>
      </c>
      <c r="T258" s="347" t="str">
        <f t="shared" si="35"/>
        <v/>
      </c>
      <c r="U258" s="347" t="str">
        <f t="shared" si="35"/>
        <v/>
      </c>
      <c r="V258" s="347" t="str">
        <f t="shared" si="35"/>
        <v/>
      </c>
      <c r="W258" s="347" t="str">
        <f t="shared" si="35"/>
        <v/>
      </c>
      <c r="X258" s="347" t="str">
        <f t="shared" si="35"/>
        <v/>
      </c>
      <c r="Y258" s="347" t="str">
        <f t="shared" si="35"/>
        <v/>
      </c>
      <c r="Z258" s="347" t="str">
        <f t="shared" si="35"/>
        <v/>
      </c>
      <c r="AA258" s="347" t="str">
        <f t="shared" si="35"/>
        <v/>
      </c>
      <c r="AB258" s="347" t="str">
        <f t="shared" si="35"/>
        <v/>
      </c>
      <c r="AC258" s="347" t="str">
        <f t="shared" si="35"/>
        <v/>
      </c>
      <c r="AD258" s="347" t="str">
        <f t="shared" si="35"/>
        <v/>
      </c>
      <c r="AE258" s="347" t="str">
        <f t="shared" si="35"/>
        <v/>
      </c>
      <c r="AF258" s="347" t="str">
        <f t="shared" si="35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6">IF(B226&lt;100,"",B226-330)</f>
        <v/>
      </c>
      <c r="C259" s="347" t="str">
        <f t="shared" si="36"/>
        <v/>
      </c>
      <c r="D259" s="347" t="str">
        <f t="shared" si="36"/>
        <v/>
      </c>
      <c r="E259" s="347" t="str">
        <f t="shared" si="36"/>
        <v/>
      </c>
      <c r="F259" s="347" t="str">
        <f t="shared" si="36"/>
        <v/>
      </c>
      <c r="G259" s="347" t="str">
        <f t="shared" si="36"/>
        <v/>
      </c>
      <c r="H259" s="347" t="str">
        <f t="shared" si="36"/>
        <v/>
      </c>
      <c r="I259" s="347" t="str">
        <f t="shared" si="36"/>
        <v/>
      </c>
      <c r="J259" s="347" t="str">
        <f t="shared" si="36"/>
        <v/>
      </c>
      <c r="K259" s="347" t="str">
        <f t="shared" si="36"/>
        <v/>
      </c>
      <c r="L259" s="347" t="str">
        <f t="shared" si="36"/>
        <v/>
      </c>
      <c r="M259" s="347" t="str">
        <f t="shared" si="36"/>
        <v/>
      </c>
      <c r="N259" s="347" t="str">
        <f t="shared" si="36"/>
        <v/>
      </c>
      <c r="O259" s="347" t="str">
        <f t="shared" si="36"/>
        <v/>
      </c>
      <c r="P259" s="347" t="str">
        <f t="shared" si="36"/>
        <v/>
      </c>
      <c r="Q259" s="347" t="str">
        <f t="shared" si="36"/>
        <v/>
      </c>
      <c r="R259" s="347" t="str">
        <f t="shared" si="36"/>
        <v/>
      </c>
      <c r="S259" s="347" t="str">
        <f t="shared" si="36"/>
        <v/>
      </c>
      <c r="T259" s="347" t="str">
        <f t="shared" si="36"/>
        <v/>
      </c>
      <c r="U259" s="347" t="str">
        <f t="shared" si="36"/>
        <v/>
      </c>
      <c r="V259" s="347" t="str">
        <f t="shared" si="36"/>
        <v/>
      </c>
      <c r="W259" s="347" t="str">
        <f t="shared" si="36"/>
        <v/>
      </c>
      <c r="X259" s="347" t="str">
        <f t="shared" si="36"/>
        <v/>
      </c>
      <c r="Y259" s="347" t="str">
        <f t="shared" si="36"/>
        <v/>
      </c>
      <c r="Z259" s="347" t="str">
        <f t="shared" si="36"/>
        <v/>
      </c>
      <c r="AA259" s="347" t="str">
        <f t="shared" si="36"/>
        <v/>
      </c>
      <c r="AB259" s="347" t="str">
        <f t="shared" si="36"/>
        <v/>
      </c>
      <c r="AC259" s="347" t="str">
        <f t="shared" si="36"/>
        <v/>
      </c>
      <c r="AD259" s="347" t="str">
        <f t="shared" si="36"/>
        <v/>
      </c>
      <c r="AE259" s="347" t="str">
        <f t="shared" si="36"/>
        <v/>
      </c>
      <c r="AF259" s="347" t="str">
        <f t="shared" si="36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7">IF(C227&lt;100,"",C227-1500)</f>
        <v/>
      </c>
      <c r="D260" s="347" t="str">
        <f t="shared" si="37"/>
        <v/>
      </c>
      <c r="E260" s="347" t="str">
        <f t="shared" si="37"/>
        <v/>
      </c>
      <c r="F260" s="347" t="str">
        <f t="shared" si="37"/>
        <v/>
      </c>
      <c r="G260" s="347" t="str">
        <f t="shared" si="37"/>
        <v/>
      </c>
      <c r="H260" s="347" t="str">
        <f t="shared" si="37"/>
        <v/>
      </c>
      <c r="I260" s="347" t="str">
        <f t="shared" si="37"/>
        <v/>
      </c>
      <c r="J260" s="347" t="str">
        <f t="shared" si="37"/>
        <v/>
      </c>
      <c r="K260" s="347" t="str">
        <f t="shared" si="37"/>
        <v/>
      </c>
      <c r="L260" s="347" t="str">
        <f t="shared" si="37"/>
        <v/>
      </c>
      <c r="M260" s="347" t="str">
        <f t="shared" si="37"/>
        <v/>
      </c>
      <c r="N260" s="347" t="str">
        <f t="shared" si="37"/>
        <v/>
      </c>
      <c r="O260" s="347" t="str">
        <f t="shared" si="37"/>
        <v/>
      </c>
      <c r="P260" s="347" t="str">
        <f t="shared" si="37"/>
        <v/>
      </c>
      <c r="Q260" s="347" t="str">
        <f t="shared" si="37"/>
        <v/>
      </c>
      <c r="R260" s="347" t="str">
        <f t="shared" si="37"/>
        <v/>
      </c>
      <c r="S260" s="347" t="str">
        <f t="shared" si="37"/>
        <v/>
      </c>
      <c r="T260" s="347" t="str">
        <f t="shared" si="37"/>
        <v/>
      </c>
      <c r="U260" s="347" t="str">
        <f t="shared" si="37"/>
        <v/>
      </c>
      <c r="V260" s="347" t="str">
        <f t="shared" si="37"/>
        <v/>
      </c>
      <c r="W260" s="347" t="str">
        <f t="shared" si="37"/>
        <v/>
      </c>
      <c r="X260" s="347" t="str">
        <f t="shared" si="37"/>
        <v/>
      </c>
      <c r="Y260" s="347" t="str">
        <f t="shared" si="37"/>
        <v/>
      </c>
      <c r="Z260" s="347" t="str">
        <f t="shared" si="37"/>
        <v/>
      </c>
      <c r="AA260" s="347" t="str">
        <f t="shared" si="37"/>
        <v/>
      </c>
      <c r="AB260" s="347" t="str">
        <f t="shared" si="37"/>
        <v/>
      </c>
      <c r="AC260" s="347" t="str">
        <f t="shared" si="37"/>
        <v/>
      </c>
      <c r="AD260" s="347" t="str">
        <f t="shared" si="37"/>
        <v/>
      </c>
      <c r="AE260" s="347" t="str">
        <f t="shared" si="37"/>
        <v/>
      </c>
      <c r="AF260" s="347" t="str">
        <f t="shared" si="37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C99:AF105 B9:AF10 AA11:AF11">
    <cfRule type="expression" dxfId="6234" priority="266">
      <formula>B$9&gt;=20/24</formula>
    </cfRule>
    <cfRule type="expression" dxfId="6233" priority="267">
      <formula>AND(B$9&gt;=14/24,B$9&lt;20/24)</formula>
    </cfRule>
    <cfRule type="expression" dxfId="6232" priority="268">
      <formula>AND(B$9&gt;=8/24,B$9&lt;14/24)</formula>
    </cfRule>
    <cfRule type="expression" dxfId="6231" priority="269">
      <formula>B$9&lt;8/24</formula>
    </cfRule>
  </conditionalFormatting>
  <conditionalFormatting sqref="AL4:AL6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6230" priority="261">
      <formula>S$9&gt;=20/24</formula>
    </cfRule>
    <cfRule type="expression" dxfId="6229" priority="262">
      <formula>AND(S$9&gt;=14/24,S$9&lt;20/24)</formula>
    </cfRule>
    <cfRule type="expression" dxfId="6228" priority="263">
      <formula>AND(S$9&gt;=8/24,S$9&lt;14/24)</formula>
    </cfRule>
    <cfRule type="expression" dxfId="6227" priority="264">
      <formula>S$9&lt;8/24</formula>
    </cfRule>
  </conditionalFormatting>
  <conditionalFormatting sqref="AG55 B12:H16 I16:L16 B35:L35 J11:Z11 S37:AF37 AA11:AF16 AA35:AF35">
    <cfRule type="expression" dxfId="6226" priority="260">
      <formula>B11&gt;$AG11</formula>
    </cfRule>
  </conditionalFormatting>
  <conditionalFormatting sqref="A89:A102 A11:A14 A49:A76 A85:A87 A191:A221 A16:A30 A36:A47 A107:A178 A32:A33 A81:A83 A78:A79">
    <cfRule type="expression" dxfId="6225" priority="259">
      <formula>$AH11=0</formula>
    </cfRule>
  </conditionalFormatting>
  <conditionalFormatting sqref="A103">
    <cfRule type="expression" dxfId="6224" priority="258">
      <formula>$AH103=0</formula>
    </cfRule>
  </conditionalFormatting>
  <conditionalFormatting sqref="AL3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223" priority="256">
      <formula>$AH35=0</formula>
    </cfRule>
  </conditionalFormatting>
  <conditionalFormatting sqref="A88">
    <cfRule type="expression" dxfId="6222" priority="255">
      <formula>$AH88=0</formula>
    </cfRule>
  </conditionalFormatting>
  <conditionalFormatting sqref="A15">
    <cfRule type="expression" dxfId="6221" priority="254">
      <formula>$AH15=0</formula>
    </cfRule>
  </conditionalFormatting>
  <conditionalFormatting sqref="A185:A190">
    <cfRule type="expression" dxfId="6220" priority="253">
      <formula>$AH185=0</formula>
    </cfRule>
  </conditionalFormatting>
  <conditionalFormatting sqref="A179:A184">
    <cfRule type="expression" dxfId="6219" priority="252">
      <formula>$AH179=0</formula>
    </cfRule>
  </conditionalFormatting>
  <conditionalFormatting sqref="A48">
    <cfRule type="expression" dxfId="6218" priority="251">
      <formula>$AH48=0</formula>
    </cfRule>
  </conditionalFormatting>
  <conditionalFormatting sqref="A84">
    <cfRule type="expression" dxfId="6217" priority="250">
      <formula>$AH84=0</formula>
    </cfRule>
  </conditionalFormatting>
  <conditionalFormatting sqref="C89:AF89">
    <cfRule type="expression" dxfId="6216" priority="246">
      <formula>C$9&gt;=20/24</formula>
    </cfRule>
    <cfRule type="expression" dxfId="6215" priority="247">
      <formula>AND(C$9&gt;=14/24,C$9&lt;20/24)</formula>
    </cfRule>
    <cfRule type="expression" dxfId="6214" priority="248">
      <formula>AND(C$9&gt;=8/24,C$9&lt;14/24)</formula>
    </cfRule>
    <cfRule type="expression" dxfId="6213" priority="249">
      <formula>C$9&lt;8/24</formula>
    </cfRule>
  </conditionalFormatting>
  <conditionalFormatting sqref="AL34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212" priority="272">
      <formula>C$9&gt;=20/24</formula>
    </cfRule>
    <cfRule type="expression" dxfId="6211" priority="273">
      <formula>AND(C$9&gt;=14/24,C$9&lt;20/24)</formula>
    </cfRule>
    <cfRule type="expression" dxfId="6210" priority="274">
      <formula>AND(C$9&gt;=8/24,C$9&lt;14/24)</formula>
    </cfRule>
    <cfRule type="expression" dxfId="6209" priority="275">
      <formula>C$9&lt;8/24</formula>
    </cfRule>
  </conditionalFormatting>
  <conditionalFormatting sqref="A222">
    <cfRule type="expression" dxfId="6208" priority="276">
      <formula>$AH222=0</formula>
    </cfRule>
  </conditionalFormatting>
  <conditionalFormatting sqref="AG234">
    <cfRule type="expression" dxfId="6207" priority="277">
      <formula>B$9&gt;=20/24</formula>
    </cfRule>
    <cfRule type="expression" dxfId="6206" priority="278">
      <formula>AND(B$9&gt;=14/24,B$9&lt;20/24)</formula>
    </cfRule>
    <cfRule type="expression" dxfId="6205" priority="279">
      <formula>AND(B$9&gt;=8/24,B$9&lt;14/24)</formula>
    </cfRule>
    <cfRule type="expression" dxfId="6204" priority="280">
      <formula>B$9&lt;8/24</formula>
    </cfRule>
  </conditionalFormatting>
  <conditionalFormatting sqref="S8">
    <cfRule type="expression" dxfId="6203" priority="241">
      <formula>U$9&gt;=20/24</formula>
    </cfRule>
    <cfRule type="expression" dxfId="6202" priority="242">
      <formula>AND(U$9&gt;=14/24,U$9&lt;20/24)</formula>
    </cfRule>
    <cfRule type="expression" dxfId="6201" priority="243">
      <formula>AND(U$9&gt;=8/24,U$9&lt;14/24)</formula>
    </cfRule>
    <cfRule type="expression" dxfId="6200" priority="244">
      <formula>U$9&lt;8/24</formula>
    </cfRule>
  </conditionalFormatting>
  <conditionalFormatting sqref="AB8">
    <cfRule type="expression" dxfId="6199" priority="237">
      <formula>AD$9&gt;=20/24</formula>
    </cfRule>
    <cfRule type="expression" dxfId="6198" priority="238">
      <formula>AND(AD$9&gt;=14/24,AD$9&lt;20/24)</formula>
    </cfRule>
    <cfRule type="expression" dxfId="6197" priority="239">
      <formula>AND(AD$9&gt;=8/24,AD$9&lt;14/24)</formula>
    </cfRule>
    <cfRule type="expression" dxfId="6196" priority="240">
      <formula>AD$9&lt;8/24</formula>
    </cfRule>
  </conditionalFormatting>
  <conditionalFormatting sqref="AH234:AX234">
    <cfRule type="expression" dxfId="6195" priority="281">
      <formula>AG$9&gt;=20/24</formula>
    </cfRule>
    <cfRule type="expression" dxfId="6194" priority="282">
      <formula>AND(AG$9&gt;=14/24,AG$9&lt;20/24)</formula>
    </cfRule>
    <cfRule type="expression" dxfId="6193" priority="283">
      <formula>AND(AG$9&gt;=8/24,AG$9&lt;14/24)</formula>
    </cfRule>
    <cfRule type="expression" dxfId="6192" priority="284">
      <formula>AG$9&lt;8/24</formula>
    </cfRule>
  </conditionalFormatting>
  <conditionalFormatting sqref="T234">
    <cfRule type="expression" dxfId="6191" priority="285">
      <formula>AX$9&gt;=20/24</formula>
    </cfRule>
    <cfRule type="expression" dxfId="6190" priority="286">
      <formula>AND(AX$9&gt;=14/24,AX$9&lt;20/24)</formula>
    </cfRule>
    <cfRule type="expression" dxfId="6189" priority="287">
      <formula>AND(AX$9&gt;=8/24,AX$9&lt;14/24)</formula>
    </cfRule>
    <cfRule type="expression" dxfId="6188" priority="288">
      <formula>AX$9&lt;8/24</formula>
    </cfRule>
  </conditionalFormatting>
  <conditionalFormatting sqref="A104:A105">
    <cfRule type="expression" dxfId="6187" priority="236">
      <formula>$AH104=0</formula>
    </cfRule>
  </conditionalFormatting>
  <conditionalFormatting sqref="I11 I44:L45 AA36:AF36 AA44:AF45 E61:AF61">
    <cfRule type="expression" dxfId="6186" priority="232">
      <formula>E$9&gt;=20/24</formula>
    </cfRule>
    <cfRule type="expression" dxfId="6185" priority="233">
      <formula>AND(E$9&gt;=14/24,E$9&lt;20/24)</formula>
    </cfRule>
    <cfRule type="expression" dxfId="6184" priority="234">
      <formula>AND(E$9&gt;=8/24,E$9&lt;14/24)</formula>
    </cfRule>
    <cfRule type="expression" dxfId="6183" priority="235">
      <formula>E$9&lt;8/24</formula>
    </cfRule>
  </conditionalFormatting>
  <conditionalFormatting sqref="I43:L43 AA43:AF43">
    <cfRule type="expression" dxfId="6182" priority="228">
      <formula>I$9&gt;=20/24</formula>
    </cfRule>
    <cfRule type="expression" dxfId="6181" priority="229">
      <formula>AND(I$9&gt;=14/24,I$9&lt;20/24)</formula>
    </cfRule>
    <cfRule type="expression" dxfId="6180" priority="230">
      <formula>AND(I$9&gt;=8/24,I$9&lt;14/24)</formula>
    </cfRule>
    <cfRule type="expression" dxfId="6179" priority="231">
      <formula>I$9&lt;8/24</formula>
    </cfRule>
  </conditionalFormatting>
  <conditionalFormatting sqref="I11 I43:L45 AA36:AF36 AA43:AF45">
    <cfRule type="expression" dxfId="6178" priority="227">
      <formula>I11&gt;$AG11</formula>
    </cfRule>
  </conditionalFormatting>
  <conditionalFormatting sqref="C86:AF86 E62:AA63 O37:R37 E64:H66 L64:M65 I64:K67 I12:L14 M66:M71 I71:L71 L66:L67 C57:AF59 C73:AF76 C90:AF96 I36:Z36 M11:Z11 N64:AA71 AA16:AF16 AA18:AF22 AA24:AF26 AA12:AF14 AA32:AF32 AA28:AF30 AB62:AF71">
    <cfRule type="expression" dxfId="6177" priority="223">
      <formula>C$9&gt;=20/24</formula>
    </cfRule>
    <cfRule type="expression" dxfId="6176" priority="224">
      <formula>AND(C$9&gt;=14/24,C$9&lt;20/24)</formula>
    </cfRule>
    <cfRule type="expression" dxfId="6175" priority="225">
      <formula>AND(C$9&gt;=8/24,C$9&lt;14/24)</formula>
    </cfRule>
    <cfRule type="expression" dxfId="6174" priority="226">
      <formula>C$9&lt;8/24</formula>
    </cfRule>
  </conditionalFormatting>
  <conditionalFormatting sqref="AA33:AF33">
    <cfRule type="expression" dxfId="6173" priority="219">
      <formula>AA$9&gt;=20/24</formula>
    </cfRule>
    <cfRule type="expression" dxfId="6172" priority="220">
      <formula>AND(AA$9&gt;=14/24,AA$9&lt;20/24)</formula>
    </cfRule>
    <cfRule type="expression" dxfId="6171" priority="221">
      <formula>AND(AA$9&gt;=8/24,AA$9&lt;14/24)</formula>
    </cfRule>
    <cfRule type="expression" dxfId="6170" priority="222">
      <formula>AA$9&lt;8/24</formula>
    </cfRule>
  </conditionalFormatting>
  <conditionalFormatting sqref="O37:R37 I12:L15 I36:L37 I46:L48 C57:AF59 M36:Z36 M11:Z11 C55:AF55 AA18:AF22 AA32:AF33 AA24:AF30">
    <cfRule type="expression" dxfId="6169" priority="218">
      <formula>C11&gt;$AG11</formula>
    </cfRule>
  </conditionalFormatting>
  <conditionalFormatting sqref="AA35:AF35">
    <cfRule type="expression" dxfId="6168" priority="214">
      <formula>AA$9&gt;=20/24</formula>
    </cfRule>
    <cfRule type="expression" dxfId="6167" priority="215">
      <formula>AND(AA$9&gt;=14/24,AA$9&lt;20/24)</formula>
    </cfRule>
    <cfRule type="expression" dxfId="6166" priority="216">
      <formula>AND(AA$9&gt;=8/24,AA$9&lt;14/24)</formula>
    </cfRule>
    <cfRule type="expression" dxfId="6165" priority="217">
      <formula>AA$9&lt;8/24</formula>
    </cfRule>
  </conditionalFormatting>
  <conditionalFormatting sqref="I15:L15 AA15:AF15">
    <cfRule type="expression" dxfId="6164" priority="210">
      <formula>I$9&gt;=20/24</formula>
    </cfRule>
    <cfRule type="expression" dxfId="6163" priority="211">
      <formula>AND(I$9&gt;=14/24,I$9&lt;20/24)</formula>
    </cfRule>
    <cfRule type="expression" dxfId="6162" priority="212">
      <formula>AND(I$9&gt;=8/24,I$9&lt;14/24)</formula>
    </cfRule>
    <cfRule type="expression" dxfId="6161" priority="213">
      <formula>I$9&lt;8/24</formula>
    </cfRule>
  </conditionalFormatting>
  <conditionalFormatting sqref="AA34:AF34">
    <cfRule type="expression" dxfId="6160" priority="206">
      <formula>AA$9&gt;=20/24</formula>
    </cfRule>
    <cfRule type="expression" dxfId="6159" priority="207">
      <formula>AND(AA$9&gt;=14/24,AA$9&lt;20/24)</formula>
    </cfRule>
    <cfRule type="expression" dxfId="6158" priority="208">
      <formula>AND(AA$9&gt;=8/24,AA$9&lt;14/24)</formula>
    </cfRule>
    <cfRule type="expression" dxfId="6157" priority="209">
      <formula>AA$9&lt;8/24</formula>
    </cfRule>
  </conditionalFormatting>
  <conditionalFormatting sqref="AA34:AF34">
    <cfRule type="expression" dxfId="6156" priority="205">
      <formula>AA34&gt;$AG34</formula>
    </cfRule>
  </conditionalFormatting>
  <conditionalFormatting sqref="AA46:AF47">
    <cfRule type="expression" dxfId="6155" priority="197">
      <formula>AA$9&gt;=20/24</formula>
    </cfRule>
    <cfRule type="expression" dxfId="6154" priority="198">
      <formula>AND(AA$9&gt;=14/24,AA$9&lt;20/24)</formula>
    </cfRule>
    <cfRule type="expression" dxfId="6153" priority="199">
      <formula>AND(AA$9&gt;=8/24,AA$9&lt;14/24)</formula>
    </cfRule>
    <cfRule type="expression" dxfId="6152" priority="200">
      <formula>AA$9&lt;8/24</formula>
    </cfRule>
  </conditionalFormatting>
  <conditionalFormatting sqref="AA46:AF47">
    <cfRule type="expression" dxfId="6151" priority="196">
      <formula>AA46&gt;$AG46</formula>
    </cfRule>
  </conditionalFormatting>
  <conditionalFormatting sqref="M43:Z54 AA48:AF54">
    <cfRule type="expression" dxfId="6150" priority="192">
      <formula>M$9&gt;=20/24</formula>
    </cfRule>
    <cfRule type="expression" dxfId="6149" priority="193">
      <formula>AND(M$9&gt;=14/24,M$9&lt;20/24)</formula>
    </cfRule>
    <cfRule type="expression" dxfId="6148" priority="194">
      <formula>AND(M$9&gt;=8/24,M$9&lt;14/24)</formula>
    </cfRule>
    <cfRule type="expression" dxfId="6147" priority="195">
      <formula>M$9&lt;8/24</formula>
    </cfRule>
  </conditionalFormatting>
  <conditionalFormatting sqref="M43:Z54 AA48:AF54">
    <cfRule type="expression" dxfId="6146" priority="191">
      <formula>M43&gt;$AG43</formula>
    </cfRule>
  </conditionalFormatting>
  <conditionalFormatting sqref="AA27:AF27">
    <cfRule type="expression" dxfId="6145" priority="187">
      <formula>AA$9&gt;=20/24</formula>
    </cfRule>
    <cfRule type="expression" dxfId="6144" priority="188">
      <formula>AND(AA$9&gt;=14/24,AA$9&lt;20/24)</formula>
    </cfRule>
    <cfRule type="expression" dxfId="6143" priority="189">
      <formula>AND(AA$9&gt;=8/24,AA$9&lt;14/24)</formula>
    </cfRule>
    <cfRule type="expression" dxfId="6142" priority="190">
      <formula>AA$9&lt;8/24</formula>
    </cfRule>
  </conditionalFormatting>
  <conditionalFormatting sqref="I32:L32 I16:L30 AA23:AF23 AA17:AF17">
    <cfRule type="expression" dxfId="6141" priority="183">
      <formula>I$9&gt;=20/24</formula>
    </cfRule>
    <cfRule type="expression" dxfId="6140" priority="184">
      <formula>AND(I$9&gt;=14/24,I$9&lt;20/24)</formula>
    </cfRule>
    <cfRule type="expression" dxfId="6139" priority="185">
      <formula>AND(I$9&gt;=8/24,I$9&lt;14/24)</formula>
    </cfRule>
    <cfRule type="expression" dxfId="6138" priority="186">
      <formula>I$9&lt;8/24</formula>
    </cfRule>
  </conditionalFormatting>
  <conditionalFormatting sqref="I33:L33">
    <cfRule type="expression" dxfId="6137" priority="179">
      <formula>I$9&gt;=20/24</formula>
    </cfRule>
    <cfRule type="expression" dxfId="6136" priority="180">
      <formula>AND(I$9&gt;=14/24,I$9&lt;20/24)</formula>
    </cfRule>
    <cfRule type="expression" dxfId="6135" priority="181">
      <formula>AND(I$9&gt;=8/24,I$9&lt;14/24)</formula>
    </cfRule>
    <cfRule type="expression" dxfId="6134" priority="182">
      <formula>I$9&lt;8/24</formula>
    </cfRule>
  </conditionalFormatting>
  <conditionalFormatting sqref="I32:L33 I17:L30 AA23:AF23 AA17:AF17">
    <cfRule type="expression" dxfId="6133" priority="178">
      <formula>I17&gt;$AG17</formula>
    </cfRule>
  </conditionalFormatting>
  <conditionalFormatting sqref="I35:L35">
    <cfRule type="expression" dxfId="6132" priority="174">
      <formula>I$9&gt;=20/24</formula>
    </cfRule>
    <cfRule type="expression" dxfId="6131" priority="175">
      <formula>AND(I$9&gt;=14/24,I$9&lt;20/24)</formula>
    </cfRule>
    <cfRule type="expression" dxfId="6130" priority="176">
      <formula>AND(I$9&gt;=8/24,I$9&lt;14/24)</formula>
    </cfRule>
    <cfRule type="expression" dxfId="6129" priority="177">
      <formula>I$9&lt;8/24</formula>
    </cfRule>
  </conditionalFormatting>
  <conditionalFormatting sqref="I34:L34">
    <cfRule type="expression" dxfId="6128" priority="166">
      <formula>I$9&gt;=20/24</formula>
    </cfRule>
    <cfRule type="expression" dxfId="6127" priority="167">
      <formula>AND(I$9&gt;=14/24,I$9&lt;20/24)</formula>
    </cfRule>
    <cfRule type="expression" dxfId="6126" priority="168">
      <formula>AND(I$9&gt;=8/24,I$9&lt;14/24)</formula>
    </cfRule>
    <cfRule type="expression" dxfId="6125" priority="169">
      <formula>I$9&lt;8/24</formula>
    </cfRule>
  </conditionalFormatting>
  <conditionalFormatting sqref="I34:L34">
    <cfRule type="expression" dxfId="6124" priority="165">
      <formula>I34&gt;$AG34</formula>
    </cfRule>
  </conditionalFormatting>
  <conditionalFormatting sqref="I68:L70">
    <cfRule type="expression" dxfId="6123" priority="152">
      <formula>I$9&gt;=20/24</formula>
    </cfRule>
    <cfRule type="expression" dxfId="6122" priority="153">
      <formula>AND(I$9&gt;=14/24,I$9&lt;20/24)</formula>
    </cfRule>
    <cfRule type="expression" dxfId="6121" priority="154">
      <formula>AND(I$9&gt;=8/24,I$9&lt;14/24)</formula>
    </cfRule>
    <cfRule type="expression" dxfId="6120" priority="155">
      <formula>I$9&lt;8/24</formula>
    </cfRule>
  </conditionalFormatting>
  <conditionalFormatting sqref="I49:L54">
    <cfRule type="expression" dxfId="6119" priority="147">
      <formula>I$9&gt;=20/24</formula>
    </cfRule>
    <cfRule type="expression" dxfId="6118" priority="148">
      <formula>AND(I$9&gt;=14/24,I$9&lt;20/24)</formula>
    </cfRule>
    <cfRule type="expression" dxfId="6117" priority="149">
      <formula>AND(I$9&gt;=8/24,I$9&lt;14/24)</formula>
    </cfRule>
    <cfRule type="expression" dxfId="6116" priority="150">
      <formula>I$9&lt;8/24</formula>
    </cfRule>
  </conditionalFormatting>
  <conditionalFormatting sqref="I49:L54">
    <cfRule type="expression" dxfId="6115" priority="146">
      <formula>I49&gt;$AG49</formula>
    </cfRule>
  </conditionalFormatting>
  <conditionalFormatting sqref="B99:B105 B78:AF78 B87:AF87 B11:H11">
    <cfRule type="expression" dxfId="6114" priority="133">
      <formula>B$9&gt;=20/24</formula>
    </cfRule>
    <cfRule type="expression" dxfId="6113" priority="134">
      <formula>AND(B$9&gt;=14/24,B$9&lt;20/24)</formula>
    </cfRule>
    <cfRule type="expression" dxfId="6112" priority="135">
      <formula>AND(B$9&gt;=8/24,B$9&lt;14/24)</formula>
    </cfRule>
    <cfRule type="expression" dxfId="6111" priority="136">
      <formula>B$9&lt;8/24</formula>
    </cfRule>
  </conditionalFormatting>
  <conditionalFormatting sqref="B37:H37">
    <cfRule type="expression" dxfId="6110" priority="129">
      <formula>B$9&gt;=20/24</formula>
    </cfRule>
    <cfRule type="expression" dxfId="6109" priority="130">
      <formula>AND(B$9&gt;=14/24,B$9&lt;20/24)</formula>
    </cfRule>
    <cfRule type="expression" dxfId="6108" priority="131">
      <formula>AND(B$9&gt;=8/24,B$9&lt;14/24)</formula>
    </cfRule>
    <cfRule type="expression" dxfId="6107" priority="132">
      <formula>B$9&lt;8/24</formula>
    </cfRule>
  </conditionalFormatting>
  <conditionalFormatting sqref="B37:H37 B11:H11">
    <cfRule type="expression" dxfId="6106" priority="128">
      <formula>B11&gt;$AG11</formula>
    </cfRule>
  </conditionalFormatting>
  <conditionalFormatting sqref="B89">
    <cfRule type="expression" dxfId="6105" priority="124">
      <formula>B$9&gt;=20/24</formula>
    </cfRule>
    <cfRule type="expression" dxfId="6104" priority="125">
      <formula>AND(B$9&gt;=14/24,B$9&lt;20/24)</formula>
    </cfRule>
    <cfRule type="expression" dxfId="6103" priority="126">
      <formula>AND(B$9&gt;=8/24,B$9&lt;14/24)</formula>
    </cfRule>
    <cfRule type="expression" dxfId="6102" priority="127">
      <formula>B$9&lt;8/24</formula>
    </cfRule>
  </conditionalFormatting>
  <conditionalFormatting sqref="B61:D61 B36:H36 B44:H45">
    <cfRule type="expression" dxfId="6101" priority="120">
      <formula>B$9&gt;=20/24</formula>
    </cfRule>
    <cfRule type="expression" dxfId="6100" priority="121">
      <formula>AND(B$9&gt;=14/24,B$9&lt;20/24)</formula>
    </cfRule>
    <cfRule type="expression" dxfId="6099" priority="122">
      <formula>AND(B$9&gt;=8/24,B$9&lt;14/24)</formula>
    </cfRule>
    <cfRule type="expression" dxfId="6098" priority="123">
      <formula>B$9&lt;8/24</formula>
    </cfRule>
  </conditionalFormatting>
  <conditionalFormatting sqref="B43:H43">
    <cfRule type="expression" dxfId="6097" priority="116">
      <formula>B$9&gt;=20/24</formula>
    </cfRule>
    <cfRule type="expression" dxfId="6096" priority="117">
      <formula>AND(B$9&gt;=14/24,B$9&lt;20/24)</formula>
    </cfRule>
    <cfRule type="expression" dxfId="6095" priority="118">
      <formula>AND(B$9&gt;=8/24,B$9&lt;14/24)</formula>
    </cfRule>
    <cfRule type="expression" dxfId="6094" priority="119">
      <formula>B$9&lt;8/24</formula>
    </cfRule>
  </conditionalFormatting>
  <conditionalFormatting sqref="B36:H36 B43:H45">
    <cfRule type="expression" dxfId="6093" priority="115">
      <formula>B36&gt;$AG36</formula>
    </cfRule>
  </conditionalFormatting>
  <conditionalFormatting sqref="B90:B96 B57:B60 B73:B77 B79:AF79 B86 C60:AG60 C77:AG77 B88:AF88 B62:D71 B12:H14 B16:H16 B28:H30 B18:H22 B24:H26 B32:H32 E67:H71">
    <cfRule type="expression" dxfId="6092" priority="111">
      <formula>B$9&gt;=20/24</formula>
    </cfRule>
    <cfRule type="expression" dxfId="6091" priority="112">
      <formula>AND(B$9&gt;=14/24,B$9&lt;20/24)</formula>
    </cfRule>
    <cfRule type="expression" dxfId="6090" priority="113">
      <formula>AND(B$9&gt;=8/24,B$9&lt;14/24)</formula>
    </cfRule>
    <cfRule type="expression" dxfId="6089" priority="114">
      <formula>B$9&lt;8/24</formula>
    </cfRule>
  </conditionalFormatting>
  <conditionalFormatting sqref="B33:H33">
    <cfRule type="expression" dxfId="6088" priority="107">
      <formula>B$9&gt;=20/24</formula>
    </cfRule>
    <cfRule type="expression" dxfId="6087" priority="108">
      <formula>AND(B$9&gt;=14/24,B$9&lt;20/24)</formula>
    </cfRule>
    <cfRule type="expression" dxfId="6086" priority="109">
      <formula>AND(B$9&gt;=8/24,B$9&lt;14/24)</formula>
    </cfRule>
    <cfRule type="expression" dxfId="6085" priority="110">
      <formula>B$9&lt;8/24</formula>
    </cfRule>
  </conditionalFormatting>
  <conditionalFormatting sqref="B55:B60 C56:AG56 C60:AG60 B18:H22 B24:H30 B32:H33 B46:H47 B38:AG38">
    <cfRule type="expression" dxfId="6084" priority="106">
      <formula>B18&gt;$AG18</formula>
    </cfRule>
  </conditionalFormatting>
  <conditionalFormatting sqref="B35:H35">
    <cfRule type="expression" dxfId="6083" priority="102">
      <formula>B$9&gt;=20/24</formula>
    </cfRule>
    <cfRule type="expression" dxfId="6082" priority="103">
      <formula>AND(B$9&gt;=14/24,B$9&lt;20/24)</formula>
    </cfRule>
    <cfRule type="expression" dxfId="6081" priority="104">
      <formula>AND(B$9&gt;=8/24,B$9&lt;14/24)</formula>
    </cfRule>
    <cfRule type="expression" dxfId="6080" priority="105">
      <formula>B$9&lt;8/24</formula>
    </cfRule>
  </conditionalFormatting>
  <conditionalFormatting sqref="B15:H15">
    <cfRule type="expression" dxfId="6079" priority="98">
      <formula>B$9&gt;=20/24</formula>
    </cfRule>
    <cfRule type="expression" dxfId="6078" priority="99">
      <formula>AND(B$9&gt;=14/24,B$9&lt;20/24)</formula>
    </cfRule>
    <cfRule type="expression" dxfId="6077" priority="100">
      <formula>AND(B$9&gt;=8/24,B$9&lt;14/24)</formula>
    </cfRule>
    <cfRule type="expression" dxfId="6076" priority="101">
      <formula>B$9&lt;8/24</formula>
    </cfRule>
  </conditionalFormatting>
  <conditionalFormatting sqref="B34:H34">
    <cfRule type="expression" dxfId="6075" priority="94">
      <formula>B$9&gt;=20/24</formula>
    </cfRule>
    <cfRule type="expression" dxfId="6074" priority="95">
      <formula>AND(B$9&gt;=14/24,B$9&lt;20/24)</formula>
    </cfRule>
    <cfRule type="expression" dxfId="6073" priority="96">
      <formula>AND(B$9&gt;=8/24,B$9&lt;14/24)</formula>
    </cfRule>
    <cfRule type="expression" dxfId="6072" priority="97">
      <formula>B$9&lt;8/24</formula>
    </cfRule>
  </conditionalFormatting>
  <conditionalFormatting sqref="B34:H34">
    <cfRule type="expression" dxfId="6071" priority="93">
      <formula>B34&gt;$AG34</formula>
    </cfRule>
  </conditionalFormatting>
  <conditionalFormatting sqref="B48:H54">
    <cfRule type="expression" dxfId="6070" priority="89">
      <formula>B$9&gt;=20/24</formula>
    </cfRule>
    <cfRule type="expression" dxfId="6069" priority="90">
      <formula>AND(B$9&gt;=14/24,B$9&lt;20/24)</formula>
    </cfRule>
    <cfRule type="expression" dxfId="6068" priority="91">
      <formula>AND(B$9&gt;=8/24,B$9&lt;14/24)</formula>
    </cfRule>
    <cfRule type="expression" dxfId="6067" priority="92">
      <formula>B$9&lt;8/24</formula>
    </cfRule>
  </conditionalFormatting>
  <conditionalFormatting sqref="B48:H54">
    <cfRule type="expression" dxfId="6066" priority="88">
      <formula>B48&gt;$AG48</formula>
    </cfRule>
  </conditionalFormatting>
  <conditionalFormatting sqref="B27:H27">
    <cfRule type="expression" dxfId="6065" priority="84">
      <formula>B$9&gt;=20/24</formula>
    </cfRule>
    <cfRule type="expression" dxfId="6064" priority="85">
      <formula>AND(B$9&gt;=14/24,B$9&lt;20/24)</formula>
    </cfRule>
    <cfRule type="expression" dxfId="6063" priority="86">
      <formula>AND(B$9&gt;=8/24,B$9&lt;14/24)</formula>
    </cfRule>
    <cfRule type="expression" dxfId="6062" priority="87">
      <formula>B$9&lt;8/24</formula>
    </cfRule>
  </conditionalFormatting>
  <conditionalFormatting sqref="B17:H17 B23:H23">
    <cfRule type="expression" dxfId="6061" priority="80">
      <formula>B$9&gt;=20/24</formula>
    </cfRule>
    <cfRule type="expression" dxfId="6060" priority="81">
      <formula>AND(B$9&gt;=14/24,B$9&lt;20/24)</formula>
    </cfRule>
    <cfRule type="expression" dxfId="6059" priority="82">
      <formula>AND(B$9&gt;=8/24,B$9&lt;14/24)</formula>
    </cfRule>
    <cfRule type="expression" dxfId="6058" priority="83">
      <formula>B$9&lt;8/24</formula>
    </cfRule>
  </conditionalFormatting>
  <conditionalFormatting sqref="B17:H17 B23:H23">
    <cfRule type="expression" dxfId="6057" priority="79">
      <formula>B17&gt;$AG17</formula>
    </cfRule>
  </conditionalFormatting>
  <conditionalFormatting sqref="A34">
    <cfRule type="expression" dxfId="6056" priority="78">
      <formula>$AH34=0</formula>
    </cfRule>
  </conditionalFormatting>
  <conditionalFormatting sqref="B72:AF72">
    <cfRule type="expression" dxfId="6055" priority="74">
      <formula>B$9&gt;=20/24</formula>
    </cfRule>
    <cfRule type="expression" dxfId="6054" priority="75">
      <formula>AND(B$9&gt;=14/24,B$9&lt;20/24)</formula>
    </cfRule>
    <cfRule type="expression" dxfId="6053" priority="76">
      <formula>AND(B$9&gt;=8/24,B$9&lt;14/24)</formula>
    </cfRule>
    <cfRule type="expression" dxfId="6052" priority="77">
      <formula>B$9&lt;8/24</formula>
    </cfRule>
  </conditionalFormatting>
  <conditionalFormatting sqref="B81:AF85">
    <cfRule type="expression" dxfId="6051" priority="70">
      <formula>B$9&gt;=20/24</formula>
    </cfRule>
    <cfRule type="expression" dxfId="6050" priority="71">
      <formula>AND(B$9&gt;=14/24,B$9&lt;20/24)</formula>
    </cfRule>
    <cfRule type="expression" dxfId="6049" priority="72">
      <formula>AND(B$9&gt;=8/24,B$9&lt;14/24)</formula>
    </cfRule>
    <cfRule type="expression" dxfId="6048" priority="73">
      <formula>B$9&lt;8/24</formula>
    </cfRule>
  </conditionalFormatting>
  <conditionalFormatting sqref="AL35 AL7:AL30 AL32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G39:AF41">
    <cfRule type="expression" dxfId="6047" priority="66">
      <formula>G$9&gt;=20/24</formula>
    </cfRule>
    <cfRule type="expression" dxfId="6046" priority="67">
      <formula>AND(G$9&gt;=14/24,G$9&lt;20/24)</formula>
    </cfRule>
    <cfRule type="expression" dxfId="6045" priority="68">
      <formula>AND(G$9&gt;=8/24,G$9&lt;14/24)</formula>
    </cfRule>
    <cfRule type="expression" dxfId="6044" priority="69">
      <formula>G$9&lt;8/24</formula>
    </cfRule>
  </conditionalFormatting>
  <conditionalFormatting sqref="G39:AF41">
    <cfRule type="expression" dxfId="6043" priority="65">
      <formula>G39&gt;$AG39</formula>
    </cfRule>
  </conditionalFormatting>
  <conditionalFormatting sqref="B39:B42 C42:AG42 C39:F41">
    <cfRule type="expression" dxfId="6042" priority="61">
      <formula>B$9&gt;=20/24</formula>
    </cfRule>
    <cfRule type="expression" dxfId="6041" priority="62">
      <formula>AND(B$9&gt;=14/24,B$9&lt;20/24)</formula>
    </cfRule>
    <cfRule type="expression" dxfId="6040" priority="63">
      <formula>AND(B$9&gt;=8/24,B$9&lt;14/24)</formula>
    </cfRule>
    <cfRule type="expression" dxfId="6039" priority="64">
      <formula>B$9&lt;8/24</formula>
    </cfRule>
  </conditionalFormatting>
  <conditionalFormatting sqref="B39:B42 C42:AG42 C39:F41">
    <cfRule type="expression" dxfId="6038" priority="60">
      <formula>B39&gt;$AG39</formula>
    </cfRule>
  </conditionalFormatting>
  <conditionalFormatting sqref="C97:AF97">
    <cfRule type="expression" dxfId="6037" priority="56">
      <formula>C$9&gt;=20/24</formula>
    </cfRule>
    <cfRule type="expression" dxfId="6036" priority="57">
      <formula>AND(C$9&gt;=14/24,C$9&lt;20/24)</formula>
    </cfRule>
    <cfRule type="expression" dxfId="6035" priority="58">
      <formula>AND(C$9&gt;=8/24,C$9&lt;14/24)</formula>
    </cfRule>
    <cfRule type="expression" dxfId="6034" priority="59">
      <formula>C$9&lt;8/24</formula>
    </cfRule>
  </conditionalFormatting>
  <conditionalFormatting sqref="B97">
    <cfRule type="expression" dxfId="6033" priority="52">
      <formula>B$9&gt;=20/24</formula>
    </cfRule>
    <cfRule type="expression" dxfId="6032" priority="53">
      <formula>AND(B$9&gt;=14/24,B$9&lt;20/24)</formula>
    </cfRule>
    <cfRule type="expression" dxfId="6031" priority="54">
      <formula>AND(B$9&gt;=8/24,B$9&lt;14/24)</formula>
    </cfRule>
    <cfRule type="expression" dxfId="6030" priority="55">
      <formula>B$9&lt;8/24</formula>
    </cfRule>
  </conditionalFormatting>
  <conditionalFormatting sqref="AL31">
    <cfRule type="iconSet" priority="51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6029" priority="45">
      <formula>$AH31=0</formula>
    </cfRule>
  </conditionalFormatting>
  <conditionalFormatting sqref="A80">
    <cfRule type="expression" dxfId="6028" priority="43">
      <formula>$AH80=0</formula>
    </cfRule>
  </conditionalFormatting>
  <conditionalFormatting sqref="A77">
    <cfRule type="expression" dxfId="6027" priority="44">
      <formula>$AH77=0</formula>
    </cfRule>
  </conditionalFormatting>
  <conditionalFormatting sqref="A106">
    <cfRule type="expression" dxfId="6026" priority="34">
      <formula>$AH106=0</formula>
    </cfRule>
  </conditionalFormatting>
  <conditionalFormatting sqref="M12:Z12 M17:Z17">
    <cfRule type="expression" dxfId="6025" priority="33">
      <formula>M12&gt;$AG12</formula>
    </cfRule>
  </conditionalFormatting>
  <conditionalFormatting sqref="M37:N37 M13:Z15">
    <cfRule type="expression" dxfId="6024" priority="29">
      <formula>M$9&gt;=20/24</formula>
    </cfRule>
    <cfRule type="expression" dxfId="6023" priority="30">
      <formula>AND(M$9&gt;=14/24,M$9&lt;20/24)</formula>
    </cfRule>
    <cfRule type="expression" dxfId="6022" priority="31">
      <formula>AND(M$9&gt;=8/24,M$9&lt;14/24)</formula>
    </cfRule>
    <cfRule type="expression" dxfId="6021" priority="32">
      <formula>M$9&lt;8/24</formula>
    </cfRule>
  </conditionalFormatting>
  <conditionalFormatting sqref="M37:N37 M13:Z16">
    <cfRule type="expression" dxfId="6020" priority="28">
      <formula>M13&gt;$AG13</formula>
    </cfRule>
  </conditionalFormatting>
  <conditionalFormatting sqref="M16:Z16">
    <cfRule type="expression" dxfId="6019" priority="24">
      <formula>M$9&gt;=20/24</formula>
    </cfRule>
    <cfRule type="expression" dxfId="6018" priority="25">
      <formula>AND(M$9&gt;=14/24,M$9&lt;20/24)</formula>
    </cfRule>
    <cfRule type="expression" dxfId="6017" priority="26">
      <formula>AND(M$9&gt;=8/24,M$9&lt;14/24)</formula>
    </cfRule>
    <cfRule type="expression" dxfId="6016" priority="27">
      <formula>M$9&lt;8/24</formula>
    </cfRule>
  </conditionalFormatting>
  <conditionalFormatting sqref="M33:Z33 M17:Z31">
    <cfRule type="expression" dxfId="6015" priority="20">
      <formula>M$9&gt;=20/24</formula>
    </cfRule>
    <cfRule type="expression" dxfId="6014" priority="21">
      <formula>AND(M$9&gt;=14/24,M$9&lt;20/24)</formula>
    </cfRule>
    <cfRule type="expression" dxfId="6013" priority="22">
      <formula>AND(M$9&gt;=8/24,M$9&lt;14/24)</formula>
    </cfRule>
    <cfRule type="expression" dxfId="6012" priority="23">
      <formula>M$9&lt;8/24</formula>
    </cfRule>
  </conditionalFormatting>
  <conditionalFormatting sqref="M34:Z34">
    <cfRule type="expression" dxfId="6011" priority="16">
      <formula>M$9&gt;=20/24</formula>
    </cfRule>
    <cfRule type="expression" dxfId="6010" priority="17">
      <formula>AND(M$9&gt;=14/24,M$9&lt;20/24)</formula>
    </cfRule>
    <cfRule type="expression" dxfId="6009" priority="18">
      <formula>AND(M$9&gt;=8/24,M$9&lt;14/24)</formula>
    </cfRule>
    <cfRule type="expression" dxfId="6008" priority="19">
      <formula>M$9&lt;8/24</formula>
    </cfRule>
  </conditionalFormatting>
  <conditionalFormatting sqref="M33:Z34 M18:Z31">
    <cfRule type="expression" dxfId="6007" priority="15">
      <formula>M18&gt;$AG18</formula>
    </cfRule>
  </conditionalFormatting>
  <conditionalFormatting sqref="M35:Z35">
    <cfRule type="expression" dxfId="6006" priority="7">
      <formula>M$9&gt;=20/24</formula>
    </cfRule>
    <cfRule type="expression" dxfId="6005" priority="8">
      <formula>AND(M$9&gt;=14/24,M$9&lt;20/24)</formula>
    </cfRule>
    <cfRule type="expression" dxfId="6004" priority="9">
      <formula>AND(M$9&gt;=8/24,M$9&lt;14/24)</formula>
    </cfRule>
    <cfRule type="expression" dxfId="6003" priority="10">
      <formula>M$9&lt;8/24</formula>
    </cfRule>
  </conditionalFormatting>
  <conditionalFormatting sqref="M35:Z35">
    <cfRule type="expression" dxfId="6002" priority="6">
      <formula>M35&gt;$AG35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0FE57892-7FBD-4B2D-B2B1-C007C09AC61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8" id="{40C0FCAC-8FB7-4B84-B601-8B778C0591B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9" id="{18FB8069-0BC7-460C-AFD3-68324AA843B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0" id="{14C6C51B-B4FF-42F1-BA33-67E227B91D9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B31:L31 AA31:AF31</xm:sqref>
        </x14:conditionalFormatting>
        <x14:conditionalFormatting xmlns:xm="http://schemas.microsoft.com/office/excel/2006/main">
          <x14:cfRule type="expression" priority="46" id="{57FDEE03-DDDE-4ED6-9244-E2E6A03C7CE3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B31:L31 AA31:AF31</xm:sqref>
        </x14:conditionalFormatting>
        <x14:conditionalFormatting xmlns:xm="http://schemas.microsoft.com/office/excel/2006/main">
          <x14:cfRule type="expression" priority="39" id="{E138DC09-D5B4-486F-96A0-4C407C957BC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14C77867-054B-4A1E-B192-59D0A1E7312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" id="{13668C26-7B62-4361-9809-26F58EE1B1C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2" id="{D81C3F3F-948A-403C-9E5E-EB6DC90A27C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35" id="{21861245-DDE2-43DE-80C7-94F06DDD29E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6" id="{98818A9F-A029-43FA-93C5-F0D8F1021A7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7" id="{F215DA66-51F8-4798-9D0D-AB8394E1C6B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8" id="{88D07C3F-8952-466B-8654-ACC4E5772A0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  <x14:conditionalFormatting xmlns:xm="http://schemas.microsoft.com/office/excel/2006/main">
          <x14:cfRule type="expression" priority="2" id="{DB5E3C27-F8DF-4F09-9B87-29957375441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5D057F46-665B-4CF1-9338-E377CD6511E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A6ABB3AD-DF98-4478-B14B-B8B53A35A20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79514190-6AD7-4BF2-AA64-43A044B0275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M32:Z32</xm:sqref>
        </x14:conditionalFormatting>
        <x14:conditionalFormatting xmlns:xm="http://schemas.microsoft.com/office/excel/2006/main">
          <x14:cfRule type="expression" priority="1" id="{78923BBD-1FCD-4187-BA52-3D02CEB6DB55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M32:Z32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CJ493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2079/02/10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75</v>
      </c>
      <c r="C5" s="205">
        <f t="shared" si="0"/>
        <v>67.7</v>
      </c>
      <c r="D5" s="205">
        <f t="shared" si="0"/>
        <v>31.9</v>
      </c>
      <c r="E5" s="205">
        <f t="shared" si="0"/>
        <v>29.6</v>
      </c>
      <c r="F5" s="205">
        <f t="shared" si="0"/>
        <v>1</v>
      </c>
      <c r="G5" s="205">
        <f t="shared" si="0"/>
        <v>0</v>
      </c>
      <c r="H5" s="205">
        <f t="shared" si="0"/>
        <v>0</v>
      </c>
      <c r="I5" s="205">
        <f t="shared" si="0"/>
        <v>10.9</v>
      </c>
      <c r="J5" s="205">
        <f t="shared" si="0"/>
        <v>32</v>
      </c>
      <c r="K5" s="205">
        <f t="shared" si="0"/>
        <v>38.4</v>
      </c>
      <c r="L5" s="205">
        <f t="shared" si="0"/>
        <v>33.1</v>
      </c>
      <c r="M5" s="205">
        <f t="shared" si="0"/>
        <v>38</v>
      </c>
      <c r="N5" s="205">
        <f t="shared" si="0"/>
        <v>37.200000000000003</v>
      </c>
      <c r="O5" s="205">
        <f t="shared" si="0"/>
        <v>42.7</v>
      </c>
      <c r="P5" s="205">
        <f t="shared" si="0"/>
        <v>56.6</v>
      </c>
      <c r="Q5" s="205">
        <f t="shared" si="0"/>
        <v>61.3</v>
      </c>
      <c r="R5" s="205">
        <f t="shared" si="0"/>
        <v>53.3</v>
      </c>
      <c r="S5" s="205">
        <f t="shared" si="0"/>
        <v>64</v>
      </c>
      <c r="T5" s="205">
        <f t="shared" si="0"/>
        <v>56</v>
      </c>
      <c r="U5" s="205">
        <f t="shared" si="0"/>
        <v>49</v>
      </c>
      <c r="V5" s="205">
        <f t="shared" si="0"/>
        <v>68</v>
      </c>
      <c r="W5" s="205">
        <f t="shared" si="0"/>
        <v>66</v>
      </c>
      <c r="X5" s="205">
        <f t="shared" si="0"/>
        <v>47</v>
      </c>
      <c r="Y5" s="205">
        <f t="shared" si="0"/>
        <v>54.8</v>
      </c>
      <c r="Z5" s="205">
        <f t="shared" si="0"/>
        <v>68</v>
      </c>
      <c r="AA5" s="205">
        <f t="shared" si="0"/>
        <v>73.400000000000006</v>
      </c>
      <c r="AB5" s="205">
        <f t="shared" si="0"/>
        <v>76.099999999999994</v>
      </c>
      <c r="AC5" s="205">
        <f t="shared" si="0"/>
        <v>77.3</v>
      </c>
      <c r="AD5" s="205">
        <f t="shared" si="0"/>
        <v>80.2</v>
      </c>
      <c r="AE5" s="205">
        <f t="shared" si="0"/>
        <v>78.2</v>
      </c>
      <c r="AF5" s="205">
        <f>B72</f>
        <v>75.8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1866MW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Load=1800</v>
      </c>
      <c r="B7" s="210">
        <f>B79</f>
        <v>1870.9399999999998</v>
      </c>
      <c r="C7" s="210">
        <f t="shared" ref="C7:AF7" si="1">C79</f>
        <v>1859.1399999999999</v>
      </c>
      <c r="D7" s="210">
        <f t="shared" si="1"/>
        <v>1830.14</v>
      </c>
      <c r="E7" s="210">
        <f t="shared" si="1"/>
        <v>1818.04</v>
      </c>
      <c r="F7" s="210">
        <f t="shared" si="1"/>
        <v>1803.2399999999998</v>
      </c>
      <c r="G7" s="210">
        <f t="shared" si="1"/>
        <v>1804.6399999999999</v>
      </c>
      <c r="H7" s="210">
        <f t="shared" si="1"/>
        <v>1803.6399999999999</v>
      </c>
      <c r="I7" s="210">
        <f t="shared" si="1"/>
        <v>1799.6399999999999</v>
      </c>
      <c r="J7" s="210">
        <f t="shared" si="1"/>
        <v>1825.54</v>
      </c>
      <c r="K7" s="210">
        <f t="shared" si="1"/>
        <v>1851.6399999999999</v>
      </c>
      <c r="L7" s="210">
        <f t="shared" si="1"/>
        <v>1855.04</v>
      </c>
      <c r="M7" s="210">
        <f t="shared" si="1"/>
        <v>1862.0399999999997</v>
      </c>
      <c r="N7" s="210">
        <f t="shared" si="1"/>
        <v>1866.04</v>
      </c>
      <c r="O7" s="210">
        <f t="shared" si="1"/>
        <v>1865.24</v>
      </c>
      <c r="P7" s="210">
        <f t="shared" si="1"/>
        <v>1830.1399999999999</v>
      </c>
      <c r="Q7" s="210">
        <f t="shared" si="1"/>
        <v>1898.5399999999997</v>
      </c>
      <c r="R7" s="210">
        <f t="shared" si="1"/>
        <v>1908.74</v>
      </c>
      <c r="S7" s="210">
        <f t="shared" si="1"/>
        <v>1913.5400000000002</v>
      </c>
      <c r="T7" s="210">
        <f t="shared" si="1"/>
        <v>1944.44</v>
      </c>
      <c r="U7" s="210">
        <f t="shared" si="1"/>
        <v>1889.44</v>
      </c>
      <c r="V7" s="210">
        <f t="shared" si="1"/>
        <v>1882.44</v>
      </c>
      <c r="W7" s="210">
        <f t="shared" si="1"/>
        <v>1898.44</v>
      </c>
      <c r="X7" s="210">
        <f t="shared" si="1"/>
        <v>1882.7400000000002</v>
      </c>
      <c r="Y7" s="210">
        <f t="shared" si="1"/>
        <v>1877.2400000000002</v>
      </c>
      <c r="Z7" s="210">
        <f t="shared" si="1"/>
        <v>1928.5400000000002</v>
      </c>
      <c r="AA7" s="210">
        <f t="shared" si="1"/>
        <v>1943.04</v>
      </c>
      <c r="AB7" s="210">
        <f t="shared" si="1"/>
        <v>1959.7400000000002</v>
      </c>
      <c r="AC7" s="210">
        <f t="shared" si="1"/>
        <v>1924.94</v>
      </c>
      <c r="AD7" s="210">
        <f t="shared" si="1"/>
        <v>1932.0400000000002</v>
      </c>
      <c r="AE7" s="210">
        <f t="shared" si="1"/>
        <v>1891.0400000000002</v>
      </c>
      <c r="AF7" s="210">
        <f t="shared" si="1"/>
        <v>1877.3400000000001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53.6</v>
      </c>
      <c r="C11" s="221">
        <v>53.6</v>
      </c>
      <c r="D11" s="221">
        <v>53.6</v>
      </c>
      <c r="E11" s="221">
        <v>53.6</v>
      </c>
      <c r="F11" s="221">
        <v>53.6</v>
      </c>
      <c r="G11" s="221">
        <v>53.6</v>
      </c>
      <c r="H11" s="221">
        <v>53.6</v>
      </c>
      <c r="I11" s="221">
        <v>53.6</v>
      </c>
      <c r="J11" s="221">
        <v>53.6</v>
      </c>
      <c r="K11" s="221">
        <v>53.6</v>
      </c>
      <c r="L11" s="221">
        <v>53.6</v>
      </c>
      <c r="M11" s="221">
        <v>53.6</v>
      </c>
      <c r="N11" s="221">
        <v>53.6</v>
      </c>
      <c r="O11" s="221">
        <v>53.6</v>
      </c>
      <c r="P11" s="221">
        <v>53.6</v>
      </c>
      <c r="Q11" s="221">
        <v>53.6</v>
      </c>
      <c r="R11" s="221">
        <v>53.6</v>
      </c>
      <c r="S11" s="224">
        <v>53.5</v>
      </c>
      <c r="T11" s="224">
        <v>53.5</v>
      </c>
      <c r="U11" s="224">
        <v>53.5</v>
      </c>
      <c r="V11" s="224">
        <v>53.5</v>
      </c>
      <c r="W11" s="224">
        <v>53.5</v>
      </c>
      <c r="X11" s="224">
        <v>53.5</v>
      </c>
      <c r="Y11" s="224">
        <v>53.5</v>
      </c>
      <c r="Z11" s="224">
        <v>53.5</v>
      </c>
      <c r="AA11" s="224">
        <v>53.5</v>
      </c>
      <c r="AB11" s="224">
        <v>53.6</v>
      </c>
      <c r="AC11" s="224">
        <v>53.6</v>
      </c>
      <c r="AD11" s="224">
        <v>53.6</v>
      </c>
      <c r="AE11" s="224">
        <v>53.6</v>
      </c>
      <c r="AF11" s="224">
        <v>53.6</v>
      </c>
      <c r="AG11" s="225">
        <v>52.4</v>
      </c>
      <c r="AH11" s="226">
        <f>MAX(B11:AF11)</f>
        <v>53.6</v>
      </c>
      <c r="AI11" s="227">
        <f>MIN(B11:AF11)</f>
        <v>53.5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50.2</v>
      </c>
      <c r="C12" s="221">
        <v>50.2</v>
      </c>
      <c r="D12" s="221">
        <v>50.2</v>
      </c>
      <c r="E12" s="221">
        <v>50.2</v>
      </c>
      <c r="F12" s="221">
        <v>50.2</v>
      </c>
      <c r="G12" s="221">
        <v>50.2</v>
      </c>
      <c r="H12" s="221">
        <v>50.2</v>
      </c>
      <c r="I12" s="221">
        <v>50.2</v>
      </c>
      <c r="J12" s="221">
        <v>50.2</v>
      </c>
      <c r="K12" s="221">
        <v>50.2</v>
      </c>
      <c r="L12" s="221">
        <v>50.2</v>
      </c>
      <c r="M12" s="221">
        <v>50.2</v>
      </c>
      <c r="N12" s="221">
        <v>50.2</v>
      </c>
      <c r="O12" s="221">
        <v>50.2</v>
      </c>
      <c r="P12" s="221">
        <v>50.2</v>
      </c>
      <c r="Q12" s="221">
        <v>50.2</v>
      </c>
      <c r="R12" s="221">
        <v>50.2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50.5</v>
      </c>
      <c r="AB12" s="221">
        <v>50.5</v>
      </c>
      <c r="AC12" s="221">
        <v>50.5</v>
      </c>
      <c r="AD12" s="221">
        <v>50.5</v>
      </c>
      <c r="AE12" s="221">
        <v>50.5</v>
      </c>
      <c r="AF12" s="221">
        <v>50.5</v>
      </c>
      <c r="AG12" s="229">
        <v>50</v>
      </c>
      <c r="AH12" s="226">
        <f t="shared" ref="AH12:AH79" si="2">MAX(B12:AF12)</f>
        <v>50.5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45.9</v>
      </c>
      <c r="C13" s="221">
        <v>45.9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45.9</v>
      </c>
      <c r="Y13" s="221">
        <v>45.9</v>
      </c>
      <c r="Z13" s="221">
        <v>45.9</v>
      </c>
      <c r="AA13" s="221">
        <v>45.9</v>
      </c>
      <c r="AB13" s="221">
        <v>45.9</v>
      </c>
      <c r="AC13" s="221">
        <v>45.9</v>
      </c>
      <c r="AD13" s="221">
        <v>45.9</v>
      </c>
      <c r="AE13" s="221">
        <v>45.9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45.9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32</v>
      </c>
      <c r="C14" s="221">
        <v>30</v>
      </c>
      <c r="D14" s="221">
        <v>30</v>
      </c>
      <c r="E14" s="221">
        <v>38</v>
      </c>
      <c r="F14" s="221">
        <v>38</v>
      </c>
      <c r="G14" s="221">
        <v>38</v>
      </c>
      <c r="H14" s="221">
        <v>38</v>
      </c>
      <c r="I14" s="221">
        <v>32</v>
      </c>
      <c r="J14" s="221">
        <v>37</v>
      </c>
      <c r="K14" s="221">
        <v>39</v>
      </c>
      <c r="L14" s="221">
        <v>41</v>
      </c>
      <c r="M14" s="221">
        <v>41</v>
      </c>
      <c r="N14" s="221">
        <v>41</v>
      </c>
      <c r="O14" s="221">
        <v>41</v>
      </c>
      <c r="P14" s="221">
        <v>0</v>
      </c>
      <c r="Q14" s="221">
        <v>0</v>
      </c>
      <c r="R14" s="221">
        <v>14</v>
      </c>
      <c r="S14" s="221">
        <v>36</v>
      </c>
      <c r="T14" s="221">
        <v>36</v>
      </c>
      <c r="U14" s="221">
        <v>36</v>
      </c>
      <c r="V14" s="221">
        <v>36</v>
      </c>
      <c r="W14" s="221">
        <v>36</v>
      </c>
      <c r="X14" s="221">
        <v>36</v>
      </c>
      <c r="Y14" s="221">
        <v>36</v>
      </c>
      <c r="Z14" s="221">
        <v>38</v>
      </c>
      <c r="AA14" s="221">
        <v>0</v>
      </c>
      <c r="AB14" s="221">
        <v>41</v>
      </c>
      <c r="AC14" s="221">
        <v>41</v>
      </c>
      <c r="AD14" s="221">
        <v>41</v>
      </c>
      <c r="AE14" s="221">
        <v>0</v>
      </c>
      <c r="AF14" s="221">
        <v>41</v>
      </c>
      <c r="AG14" s="229">
        <v>42</v>
      </c>
      <c r="AH14" s="226">
        <f t="shared" si="2"/>
        <v>41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25</v>
      </c>
      <c r="C15" s="221">
        <v>20</v>
      </c>
      <c r="D15" s="221">
        <v>0</v>
      </c>
      <c r="E15" s="221">
        <v>10</v>
      </c>
      <c r="F15" s="221">
        <v>20</v>
      </c>
      <c r="G15" s="221">
        <v>20</v>
      </c>
      <c r="H15" s="221">
        <v>25</v>
      </c>
      <c r="I15" s="221">
        <v>20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20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26.3</v>
      </c>
      <c r="C16" s="221">
        <v>26.3</v>
      </c>
      <c r="D16" s="221">
        <v>26.3</v>
      </c>
      <c r="E16" s="221">
        <v>26.3</v>
      </c>
      <c r="F16" s="221">
        <v>26.3</v>
      </c>
      <c r="G16" s="221">
        <v>26.3</v>
      </c>
      <c r="H16" s="221">
        <v>26.3</v>
      </c>
      <c r="I16" s="221">
        <v>26.3</v>
      </c>
      <c r="J16" s="221">
        <v>26.3</v>
      </c>
      <c r="K16" s="221">
        <v>26.3</v>
      </c>
      <c r="L16" s="221">
        <v>26.3</v>
      </c>
      <c r="M16" s="221">
        <v>26.3</v>
      </c>
      <c r="N16" s="221">
        <v>26.3</v>
      </c>
      <c r="O16" s="221">
        <v>26.3</v>
      </c>
      <c r="P16" s="221">
        <v>26.3</v>
      </c>
      <c r="Q16" s="221">
        <v>26.3</v>
      </c>
      <c r="R16" s="221">
        <v>26.3</v>
      </c>
      <c r="S16" s="221">
        <v>26.3</v>
      </c>
      <c r="T16" s="221">
        <v>26.3</v>
      </c>
      <c r="U16" s="221">
        <v>26.3</v>
      </c>
      <c r="V16" s="221">
        <v>26.3</v>
      </c>
      <c r="W16" s="221">
        <v>26.3</v>
      </c>
      <c r="X16" s="221">
        <v>26.3</v>
      </c>
      <c r="Y16" s="221">
        <v>26.3</v>
      </c>
      <c r="Z16" s="221">
        <v>26.3</v>
      </c>
      <c r="AA16" s="221">
        <v>26.3</v>
      </c>
      <c r="AB16" s="221">
        <v>26.3</v>
      </c>
      <c r="AC16" s="221">
        <v>26.3</v>
      </c>
      <c r="AD16" s="221">
        <v>26.3</v>
      </c>
      <c r="AE16" s="221">
        <v>26.3</v>
      </c>
      <c r="AF16" s="221">
        <v>26.3</v>
      </c>
      <c r="AG16" s="229">
        <v>25</v>
      </c>
      <c r="AH16" s="226">
        <f t="shared" si="2"/>
        <v>26.3</v>
      </c>
      <c r="AI16" s="227">
        <f t="shared" si="3"/>
        <v>26.3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13</v>
      </c>
      <c r="C17" s="221">
        <v>13</v>
      </c>
      <c r="D17" s="221">
        <v>13</v>
      </c>
      <c r="E17" s="221">
        <v>13</v>
      </c>
      <c r="F17" s="221">
        <v>13</v>
      </c>
      <c r="G17" s="221">
        <v>25</v>
      </c>
      <c r="H17" s="221">
        <v>13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13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33.299999999999997</v>
      </c>
      <c r="C19" s="221">
        <v>33.299999999999997</v>
      </c>
      <c r="D19" s="221">
        <v>33.299999999999997</v>
      </c>
      <c r="E19" s="221">
        <v>33.299999999999997</v>
      </c>
      <c r="F19" s="221">
        <v>33.299999999999997</v>
      </c>
      <c r="G19" s="221">
        <v>33.299999999999997</v>
      </c>
      <c r="H19" s="221">
        <v>33.299999999999997</v>
      </c>
      <c r="I19" s="221">
        <v>33.299999999999997</v>
      </c>
      <c r="J19" s="221">
        <v>33.299999999999997</v>
      </c>
      <c r="K19" s="221">
        <v>33.299999999999997</v>
      </c>
      <c r="L19" s="221">
        <v>33.299999999999997</v>
      </c>
      <c r="M19" s="221">
        <v>33.299999999999997</v>
      </c>
      <c r="N19" s="221">
        <v>33.299999999999997</v>
      </c>
      <c r="O19" s="221">
        <v>33.299999999999997</v>
      </c>
      <c r="P19" s="221">
        <v>33.299999999999997</v>
      </c>
      <c r="Q19" s="221">
        <v>33.299999999999997</v>
      </c>
      <c r="R19" s="221">
        <v>33.299999999999997</v>
      </c>
      <c r="S19" s="221">
        <v>33.299999999999997</v>
      </c>
      <c r="T19" s="221">
        <v>33.299999999999997</v>
      </c>
      <c r="U19" s="221">
        <v>33.299999999999997</v>
      </c>
      <c r="V19" s="221">
        <v>33.299999999999997</v>
      </c>
      <c r="W19" s="221">
        <v>33.299999999999997</v>
      </c>
      <c r="X19" s="221">
        <v>33.299999999999997</v>
      </c>
      <c r="Y19" s="221">
        <v>33.299999999999997</v>
      </c>
      <c r="Z19" s="221">
        <v>33.299999999999997</v>
      </c>
      <c r="AA19" s="221">
        <v>33.299999999999997</v>
      </c>
      <c r="AB19" s="221">
        <v>33.299999999999997</v>
      </c>
      <c r="AC19" s="221">
        <v>33.299999999999997</v>
      </c>
      <c r="AD19" s="221">
        <v>33.299999999999997</v>
      </c>
      <c r="AE19" s="221">
        <v>33.299999999999997</v>
      </c>
      <c r="AF19" s="221">
        <v>33.299999999999997</v>
      </c>
      <c r="AG19" s="229">
        <v>24.2</v>
      </c>
      <c r="AH19" s="226">
        <f t="shared" si="2"/>
        <v>33.299999999999997</v>
      </c>
      <c r="AI19" s="227">
        <f t="shared" si="3"/>
        <v>33.299999999999997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23.7</v>
      </c>
      <c r="C20" s="221">
        <v>23.7</v>
      </c>
      <c r="D20" s="221">
        <v>23.7</v>
      </c>
      <c r="E20" s="221">
        <v>23.7</v>
      </c>
      <c r="F20" s="221">
        <v>23.7</v>
      </c>
      <c r="G20" s="221">
        <v>23.7</v>
      </c>
      <c r="H20" s="221">
        <v>23.7</v>
      </c>
      <c r="I20" s="221">
        <v>23.7</v>
      </c>
      <c r="J20" s="221">
        <v>23.7</v>
      </c>
      <c r="K20" s="221">
        <v>23.7</v>
      </c>
      <c r="L20" s="221">
        <v>23.7</v>
      </c>
      <c r="M20" s="221">
        <v>23.7</v>
      </c>
      <c r="N20" s="221">
        <v>23.7</v>
      </c>
      <c r="O20" s="221">
        <v>23.7</v>
      </c>
      <c r="P20" s="221">
        <v>23.7</v>
      </c>
      <c r="Q20" s="221">
        <v>23.7</v>
      </c>
      <c r="R20" s="221">
        <v>23.7</v>
      </c>
      <c r="S20" s="221">
        <v>23.7</v>
      </c>
      <c r="T20" s="221">
        <v>23.7</v>
      </c>
      <c r="U20" s="221">
        <v>23.7</v>
      </c>
      <c r="V20" s="221">
        <v>23.7</v>
      </c>
      <c r="W20" s="221">
        <v>23.7</v>
      </c>
      <c r="X20" s="221">
        <v>23.7</v>
      </c>
      <c r="Y20" s="221">
        <v>23.7</v>
      </c>
      <c r="Z20" s="221">
        <v>23.7</v>
      </c>
      <c r="AA20" s="221">
        <v>23.7</v>
      </c>
      <c r="AB20" s="221">
        <v>23.7</v>
      </c>
      <c r="AC20" s="221">
        <v>23.7</v>
      </c>
      <c r="AD20" s="221">
        <v>23.7</v>
      </c>
      <c r="AE20" s="221">
        <v>23.7</v>
      </c>
      <c r="AF20" s="221">
        <v>23.7</v>
      </c>
      <c r="AG20" s="229">
        <v>23.5</v>
      </c>
      <c r="AH20" s="226">
        <f t="shared" si="2"/>
        <v>23.7</v>
      </c>
      <c r="AI20" s="227">
        <f t="shared" si="3"/>
        <v>23.7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6</v>
      </c>
      <c r="D25" s="221">
        <v>4.3</v>
      </c>
      <c r="E25" s="221">
        <v>10</v>
      </c>
      <c r="F25" s="221">
        <v>15</v>
      </c>
      <c r="G25" s="221">
        <v>15</v>
      </c>
      <c r="H25" s="221">
        <v>15</v>
      </c>
      <c r="I25" s="221">
        <v>10</v>
      </c>
      <c r="J25" s="221">
        <v>10</v>
      </c>
      <c r="K25" s="221">
        <v>13</v>
      </c>
      <c r="L25" s="221">
        <v>18</v>
      </c>
      <c r="M25" s="221">
        <v>18</v>
      </c>
      <c r="N25" s="221">
        <v>14</v>
      </c>
      <c r="O25" s="221">
        <v>14</v>
      </c>
      <c r="P25" s="221">
        <v>0</v>
      </c>
      <c r="Q25" s="221">
        <v>0</v>
      </c>
      <c r="R25" s="221">
        <v>10</v>
      </c>
      <c r="S25" s="221">
        <v>20</v>
      </c>
      <c r="T25" s="221">
        <v>20</v>
      </c>
      <c r="U25" s="221">
        <v>20</v>
      </c>
      <c r="V25" s="221">
        <v>20</v>
      </c>
      <c r="W25" s="221">
        <v>17</v>
      </c>
      <c r="X25" s="221">
        <v>17</v>
      </c>
      <c r="Y25" s="221">
        <v>17</v>
      </c>
      <c r="Z25" s="221">
        <v>20</v>
      </c>
      <c r="AA25" s="221">
        <v>20</v>
      </c>
      <c r="AB25" s="221">
        <v>15</v>
      </c>
      <c r="AC25" s="221">
        <v>15</v>
      </c>
      <c r="AD25" s="221">
        <v>15</v>
      </c>
      <c r="AE25" s="221">
        <v>0</v>
      </c>
      <c r="AF25" s="221">
        <v>10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0</v>
      </c>
      <c r="Q27" s="221">
        <v>0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0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12.2</v>
      </c>
      <c r="C32" s="221">
        <v>12.2</v>
      </c>
      <c r="D32" s="221">
        <v>12.2</v>
      </c>
      <c r="E32" s="221">
        <v>12.2</v>
      </c>
      <c r="F32" s="221">
        <v>12.2</v>
      </c>
      <c r="G32" s="221">
        <v>12.2</v>
      </c>
      <c r="H32" s="221">
        <v>12.2</v>
      </c>
      <c r="I32" s="221">
        <v>12.2</v>
      </c>
      <c r="J32" s="221">
        <v>12.2</v>
      </c>
      <c r="K32" s="221">
        <v>12.2</v>
      </c>
      <c r="L32" s="221">
        <v>12.2</v>
      </c>
      <c r="M32" s="221">
        <v>12.2</v>
      </c>
      <c r="N32" s="221">
        <v>12.2</v>
      </c>
      <c r="O32" s="221">
        <v>12.2</v>
      </c>
      <c r="P32" s="221">
        <v>12.2</v>
      </c>
      <c r="Q32" s="221">
        <v>12.2</v>
      </c>
      <c r="R32" s="221">
        <v>12.2</v>
      </c>
      <c r="S32" s="221">
        <v>12.2</v>
      </c>
      <c r="T32" s="221">
        <v>12.2</v>
      </c>
      <c r="U32" s="221">
        <v>12.2</v>
      </c>
      <c r="V32" s="221">
        <v>12.2</v>
      </c>
      <c r="W32" s="221">
        <v>12.2</v>
      </c>
      <c r="X32" s="221">
        <v>12.2</v>
      </c>
      <c r="Y32" s="221">
        <v>12.2</v>
      </c>
      <c r="Z32" s="221">
        <v>12.2</v>
      </c>
      <c r="AA32" s="221">
        <v>12.2</v>
      </c>
      <c r="AB32" s="221">
        <v>12.2</v>
      </c>
      <c r="AC32" s="221">
        <v>12.2</v>
      </c>
      <c r="AD32" s="221">
        <v>12.2</v>
      </c>
      <c r="AE32" s="221">
        <v>12.2</v>
      </c>
      <c r="AF32" s="221">
        <v>12.2</v>
      </c>
      <c r="AG32" s="230">
        <v>11.88</v>
      </c>
      <c r="AH32" s="226">
        <f t="shared" si="2"/>
        <v>12.2</v>
      </c>
      <c r="AI32" s="227">
        <f t="shared" si="3"/>
        <v>12.2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0</v>
      </c>
      <c r="Q34" s="221">
        <v>0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0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3</v>
      </c>
      <c r="Q35" s="221">
        <v>3</v>
      </c>
      <c r="R35" s="221">
        <v>3</v>
      </c>
      <c r="S35" s="221">
        <v>3</v>
      </c>
      <c r="T35" s="221">
        <v>3</v>
      </c>
      <c r="U35" s="221">
        <v>3</v>
      </c>
      <c r="V35" s="221">
        <v>3</v>
      </c>
      <c r="W35" s="221">
        <v>3</v>
      </c>
      <c r="X35" s="221">
        <v>3</v>
      </c>
      <c r="Y35" s="221">
        <v>3</v>
      </c>
      <c r="Z35" s="221">
        <v>3</v>
      </c>
      <c r="AA35" s="221">
        <v>3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3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167.3</v>
      </c>
      <c r="C37" s="239">
        <v>167.3</v>
      </c>
      <c r="D37" s="239">
        <v>167.3</v>
      </c>
      <c r="E37" s="239">
        <v>167.3</v>
      </c>
      <c r="F37" s="239">
        <v>150</v>
      </c>
      <c r="G37" s="239">
        <v>156</v>
      </c>
      <c r="H37" s="239">
        <v>164</v>
      </c>
      <c r="I37" s="239">
        <v>167</v>
      </c>
      <c r="J37" s="239">
        <v>167</v>
      </c>
      <c r="K37" s="239">
        <v>166</v>
      </c>
      <c r="L37" s="239">
        <v>181</v>
      </c>
      <c r="M37" s="237">
        <f>80.7+101.1</f>
        <v>181.8</v>
      </c>
      <c r="N37" s="237">
        <f>81.3+101.2</f>
        <v>182.5</v>
      </c>
      <c r="O37" s="237">
        <f>80.9+66.7</f>
        <v>147.60000000000002</v>
      </c>
      <c r="P37" s="237">
        <f>66.4+96</f>
        <v>162.4</v>
      </c>
      <c r="Q37" s="237">
        <f>59.9+96.2</f>
        <v>156.1</v>
      </c>
      <c r="R37" s="237">
        <f>160</f>
        <v>160</v>
      </c>
      <c r="S37" s="239">
        <f>81.3+99.4</f>
        <v>180.7</v>
      </c>
      <c r="T37" s="239">
        <f>81.3+99.4</f>
        <v>180.7</v>
      </c>
      <c r="U37" s="239">
        <v>163</v>
      </c>
      <c r="V37" s="239">
        <v>163</v>
      </c>
      <c r="W37" s="239">
        <v>163</v>
      </c>
      <c r="X37" s="239">
        <v>163</v>
      </c>
      <c r="Y37" s="239">
        <v>163</v>
      </c>
      <c r="Z37" s="239">
        <v>163</v>
      </c>
      <c r="AA37" s="239">
        <v>163</v>
      </c>
      <c r="AB37" s="239">
        <f>99+80.5</f>
        <v>179.5</v>
      </c>
      <c r="AC37" s="239">
        <f>99.6+80.6</f>
        <v>180.2</v>
      </c>
      <c r="AD37" s="239">
        <f>100.2+80.8</f>
        <v>181</v>
      </c>
      <c r="AE37" s="239">
        <f>101.1+81.3</f>
        <v>182.39999999999998</v>
      </c>
      <c r="AF37" s="239">
        <f>183.6</f>
        <v>183.6</v>
      </c>
      <c r="AG37" s="235">
        <v>240</v>
      </c>
      <c r="AH37" s="226">
        <f t="shared" si="2"/>
        <v>183.6</v>
      </c>
      <c r="AI37" s="227">
        <f t="shared" si="3"/>
        <v>147.60000000000002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821.09999999999991</v>
      </c>
      <c r="C38" s="241">
        <f t="shared" si="4"/>
        <v>810.09999999999991</v>
      </c>
      <c r="D38" s="241">
        <f t="shared" si="4"/>
        <v>788.4</v>
      </c>
      <c r="E38" s="241">
        <f t="shared" si="4"/>
        <v>812.09999999999991</v>
      </c>
      <c r="F38" s="241">
        <f t="shared" si="4"/>
        <v>815.09999999999991</v>
      </c>
      <c r="G38" s="241">
        <f t="shared" si="4"/>
        <v>839.1</v>
      </c>
      <c r="H38" s="241">
        <f t="shared" si="4"/>
        <v>832.1</v>
      </c>
      <c r="I38" s="241">
        <f t="shared" si="4"/>
        <v>828.09999999999991</v>
      </c>
      <c r="J38" s="241">
        <f t="shared" si="4"/>
        <v>843.1</v>
      </c>
      <c r="K38" s="241">
        <f t="shared" si="4"/>
        <v>848.1</v>
      </c>
      <c r="L38" s="241">
        <f t="shared" si="4"/>
        <v>855.1</v>
      </c>
      <c r="M38" s="241">
        <f t="shared" si="4"/>
        <v>857.1</v>
      </c>
      <c r="N38" s="241">
        <f t="shared" si="4"/>
        <v>853.1</v>
      </c>
      <c r="O38" s="241">
        <f t="shared" si="4"/>
        <v>853.1</v>
      </c>
      <c r="P38" s="241">
        <f t="shared" si="4"/>
        <v>778.09999999999991</v>
      </c>
      <c r="Q38" s="241">
        <f t="shared" si="4"/>
        <v>778.09999999999991</v>
      </c>
      <c r="R38" s="241">
        <f t="shared" si="4"/>
        <v>823.09999999999991</v>
      </c>
      <c r="S38" s="241">
        <f t="shared" si="4"/>
        <v>855.30000000000007</v>
      </c>
      <c r="T38" s="241">
        <f t="shared" si="4"/>
        <v>855.30000000000007</v>
      </c>
      <c r="U38" s="241">
        <f t="shared" si="4"/>
        <v>855.30000000000007</v>
      </c>
      <c r="V38" s="241">
        <f t="shared" si="4"/>
        <v>855.30000000000007</v>
      </c>
      <c r="W38" s="241">
        <f t="shared" si="4"/>
        <v>852.30000000000007</v>
      </c>
      <c r="X38" s="241">
        <f t="shared" si="4"/>
        <v>852.30000000000007</v>
      </c>
      <c r="Y38" s="241">
        <f t="shared" si="4"/>
        <v>852.30000000000007</v>
      </c>
      <c r="Z38" s="241">
        <f t="shared" si="4"/>
        <v>857.30000000000007</v>
      </c>
      <c r="AA38" s="241">
        <f t="shared" si="4"/>
        <v>819.3</v>
      </c>
      <c r="AB38" s="241">
        <f t="shared" si="4"/>
        <v>852.40000000000009</v>
      </c>
      <c r="AC38" s="241">
        <f t="shared" si="4"/>
        <v>852.40000000000009</v>
      </c>
      <c r="AD38" s="241">
        <f t="shared" si="4"/>
        <v>852.40000000000009</v>
      </c>
      <c r="AE38" s="241">
        <f t="shared" si="4"/>
        <v>787.4</v>
      </c>
      <c r="AF38" s="241">
        <f t="shared" si="4"/>
        <v>837.5</v>
      </c>
      <c r="AG38" s="242">
        <f t="shared" si="4"/>
        <v>665.78</v>
      </c>
      <c r="AH38" s="226">
        <f t="shared" si="2"/>
        <v>857.30000000000007</v>
      </c>
      <c r="AI38" s="227">
        <f t="shared" si="3"/>
        <v>778.09999999999991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143.80000000000001</v>
      </c>
      <c r="C43" s="221">
        <v>143.80000000000001</v>
      </c>
      <c r="D43" s="221">
        <v>143.80000000000001</v>
      </c>
      <c r="E43" s="221">
        <v>143.80000000000001</v>
      </c>
      <c r="F43" s="221">
        <v>143.30000000000001</v>
      </c>
      <c r="G43" s="221">
        <v>143.30000000000001</v>
      </c>
      <c r="H43" s="221">
        <v>143.30000000000001</v>
      </c>
      <c r="I43" s="221">
        <v>143.30000000000001</v>
      </c>
      <c r="J43" s="221">
        <v>143.30000000000001</v>
      </c>
      <c r="K43" s="221">
        <v>143.30000000000001</v>
      </c>
      <c r="L43" s="221">
        <v>143.30000000000001</v>
      </c>
      <c r="M43" s="221">
        <v>143.5</v>
      </c>
      <c r="N43" s="221">
        <v>144.6</v>
      </c>
      <c r="O43" s="221">
        <v>144.6</v>
      </c>
      <c r="P43" s="221">
        <v>95</v>
      </c>
      <c r="Q43" s="221">
        <v>143.69999999999999</v>
      </c>
      <c r="R43" s="221">
        <v>143.69999999999999</v>
      </c>
      <c r="S43" s="221">
        <v>143.69999999999999</v>
      </c>
      <c r="T43" s="221">
        <v>143.69999999999999</v>
      </c>
      <c r="U43" s="221">
        <v>143.69999999999999</v>
      </c>
      <c r="V43" s="221">
        <v>143.69999999999999</v>
      </c>
      <c r="W43" s="221">
        <v>143.69999999999999</v>
      </c>
      <c r="X43" s="221">
        <v>143.69999999999999</v>
      </c>
      <c r="Y43" s="221">
        <v>143.69999999999999</v>
      </c>
      <c r="Z43" s="221">
        <v>143.69999999999999</v>
      </c>
      <c r="AA43" s="221">
        <v>143.69999999999999</v>
      </c>
      <c r="AB43" s="221">
        <v>143.4</v>
      </c>
      <c r="AC43" s="221">
        <v>143.6</v>
      </c>
      <c r="AD43" s="221">
        <v>143.30000000000001</v>
      </c>
      <c r="AE43" s="221">
        <v>143.30000000000001</v>
      </c>
      <c r="AF43" s="221">
        <v>143.4</v>
      </c>
      <c r="AG43" s="230">
        <v>144</v>
      </c>
      <c r="AH43" s="226">
        <f t="shared" si="2"/>
        <v>144.6</v>
      </c>
      <c r="AI43" s="227">
        <f t="shared" si="3"/>
        <v>95</v>
      </c>
      <c r="AK43" s="228"/>
    </row>
    <row r="44" spans="1:88" x14ac:dyDescent="0.25">
      <c r="A44" s="234" t="s">
        <v>52</v>
      </c>
      <c r="B44" s="245">
        <v>72</v>
      </c>
      <c r="C44" s="245">
        <v>72</v>
      </c>
      <c r="D44" s="245">
        <v>72</v>
      </c>
      <c r="E44" s="245">
        <v>72</v>
      </c>
      <c r="F44" s="245">
        <v>71.7</v>
      </c>
      <c r="G44" s="245">
        <v>71.7</v>
      </c>
      <c r="H44" s="245">
        <v>71.7</v>
      </c>
      <c r="I44" s="245">
        <v>71.7</v>
      </c>
      <c r="J44" s="245">
        <v>71.7</v>
      </c>
      <c r="K44" s="245">
        <v>71.7</v>
      </c>
      <c r="L44" s="245">
        <v>71.7</v>
      </c>
      <c r="M44" s="245">
        <v>71.5</v>
      </c>
      <c r="N44" s="221">
        <v>71.099999999999994</v>
      </c>
      <c r="O44" s="221">
        <v>71.099999999999994</v>
      </c>
      <c r="P44" s="221">
        <v>72.5</v>
      </c>
      <c r="Q44" s="221">
        <v>72.5</v>
      </c>
      <c r="R44" s="221">
        <v>72.5</v>
      </c>
      <c r="S44" s="221">
        <v>72.5</v>
      </c>
      <c r="T44" s="221">
        <v>72.5</v>
      </c>
      <c r="U44" s="221">
        <v>72.5</v>
      </c>
      <c r="V44" s="221">
        <v>72.5</v>
      </c>
      <c r="W44" s="221">
        <v>72.5</v>
      </c>
      <c r="X44" s="221">
        <v>72.5</v>
      </c>
      <c r="Y44" s="221">
        <v>72.5</v>
      </c>
      <c r="Z44" s="221">
        <v>72.5</v>
      </c>
      <c r="AA44" s="221">
        <v>72.5</v>
      </c>
      <c r="AB44" s="245">
        <v>72.5</v>
      </c>
      <c r="AC44" s="245">
        <v>73.5</v>
      </c>
      <c r="AD44" s="245">
        <v>73.8</v>
      </c>
      <c r="AE44" s="245">
        <v>73.8</v>
      </c>
      <c r="AF44" s="245">
        <v>72.8</v>
      </c>
      <c r="AG44" s="235">
        <v>70</v>
      </c>
      <c r="AH44" s="226">
        <f t="shared" si="2"/>
        <v>73.8</v>
      </c>
      <c r="AI44" s="227">
        <f t="shared" si="3"/>
        <v>71.099999999999994</v>
      </c>
      <c r="AK44" s="228"/>
    </row>
    <row r="45" spans="1:88" x14ac:dyDescent="0.25">
      <c r="A45" s="234" t="s">
        <v>53</v>
      </c>
      <c r="B45" s="245">
        <v>64.5</v>
      </c>
      <c r="C45" s="245">
        <v>64.5</v>
      </c>
      <c r="D45" s="245">
        <v>64.5</v>
      </c>
      <c r="E45" s="245">
        <v>64.5</v>
      </c>
      <c r="F45" s="245">
        <v>61.5</v>
      </c>
      <c r="G45" s="245">
        <v>61.5</v>
      </c>
      <c r="H45" s="245">
        <v>61.5</v>
      </c>
      <c r="I45" s="245">
        <v>61.5</v>
      </c>
      <c r="J45" s="245">
        <v>61.5</v>
      </c>
      <c r="K45" s="245">
        <v>61.5</v>
      </c>
      <c r="L45" s="245">
        <v>61.5</v>
      </c>
      <c r="M45" s="245">
        <v>63.9</v>
      </c>
      <c r="N45" s="221">
        <v>63.7</v>
      </c>
      <c r="O45" s="221">
        <v>63.7</v>
      </c>
      <c r="P45" s="221">
        <v>63.8</v>
      </c>
      <c r="Q45" s="221">
        <v>63.8</v>
      </c>
      <c r="R45" s="221">
        <v>63.8</v>
      </c>
      <c r="S45" s="221">
        <v>63.8</v>
      </c>
      <c r="T45" s="221">
        <v>63.8</v>
      </c>
      <c r="U45" s="221">
        <v>63.8</v>
      </c>
      <c r="V45" s="221">
        <v>63.8</v>
      </c>
      <c r="W45" s="221">
        <v>63.8</v>
      </c>
      <c r="X45" s="221">
        <v>63.8</v>
      </c>
      <c r="Y45" s="221">
        <v>63.8</v>
      </c>
      <c r="Z45" s="221">
        <v>63.8</v>
      </c>
      <c r="AA45" s="221">
        <v>63.8</v>
      </c>
      <c r="AB45" s="245">
        <v>60.3</v>
      </c>
      <c r="AC45" s="245">
        <v>64.2</v>
      </c>
      <c r="AD45" s="245">
        <v>63.8</v>
      </c>
      <c r="AE45" s="245">
        <v>63.8</v>
      </c>
      <c r="AF45" s="245">
        <v>64.3</v>
      </c>
      <c r="AG45" s="235">
        <v>69</v>
      </c>
      <c r="AH45" s="226">
        <f t="shared" si="2"/>
        <v>64.5</v>
      </c>
      <c r="AI45" s="227">
        <f t="shared" si="3"/>
        <v>60.3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60.4</v>
      </c>
      <c r="E46" s="237">
        <v>60.4</v>
      </c>
      <c r="F46" s="237">
        <v>61.7</v>
      </c>
      <c r="G46" s="237">
        <v>61.7</v>
      </c>
      <c r="H46" s="237">
        <v>61.7</v>
      </c>
      <c r="I46" s="237">
        <v>61.7</v>
      </c>
      <c r="J46" s="237">
        <v>61.7</v>
      </c>
      <c r="K46" s="237">
        <v>61.7</v>
      </c>
      <c r="L46" s="237">
        <v>61.7</v>
      </c>
      <c r="M46" s="237">
        <v>61.4</v>
      </c>
      <c r="N46" s="221">
        <v>61.7</v>
      </c>
      <c r="O46" s="221">
        <v>61.7</v>
      </c>
      <c r="P46" s="221">
        <v>61.2</v>
      </c>
      <c r="Q46" s="221">
        <v>61.2</v>
      </c>
      <c r="R46" s="221">
        <v>61.2</v>
      </c>
      <c r="S46" s="221">
        <v>61.2</v>
      </c>
      <c r="T46" s="221">
        <v>61.2</v>
      </c>
      <c r="U46" s="221">
        <v>61.2</v>
      </c>
      <c r="V46" s="221">
        <v>61.2</v>
      </c>
      <c r="W46" s="221">
        <v>61.2</v>
      </c>
      <c r="X46" s="221">
        <v>61.2</v>
      </c>
      <c r="Y46" s="221">
        <v>61.2</v>
      </c>
      <c r="Z46" s="221">
        <v>61.2</v>
      </c>
      <c r="AA46" s="221">
        <v>61.2</v>
      </c>
      <c r="AB46" s="237">
        <v>61.7</v>
      </c>
      <c r="AC46" s="237">
        <v>61.4</v>
      </c>
      <c r="AD46" s="237">
        <v>61.7</v>
      </c>
      <c r="AE46" s="237">
        <v>61.7</v>
      </c>
      <c r="AF46" s="237">
        <v>61.7</v>
      </c>
      <c r="AG46" s="235">
        <v>60</v>
      </c>
      <c r="AH46" s="226">
        <f t="shared" si="2"/>
        <v>61.7</v>
      </c>
      <c r="AI46" s="227">
        <f t="shared" si="3"/>
        <v>60.4</v>
      </c>
      <c r="AK46" s="228"/>
    </row>
    <row r="47" spans="1:88" x14ac:dyDescent="0.25">
      <c r="A47" s="234" t="s">
        <v>55</v>
      </c>
      <c r="B47" s="237">
        <v>28.3</v>
      </c>
      <c r="C47" s="237">
        <v>28.3</v>
      </c>
      <c r="D47" s="237">
        <v>28.3</v>
      </c>
      <c r="E47" s="237">
        <v>28.3</v>
      </c>
      <c r="F47" s="237">
        <v>28.3</v>
      </c>
      <c r="G47" s="237">
        <v>28.3</v>
      </c>
      <c r="H47" s="237">
        <v>28.3</v>
      </c>
      <c r="I47" s="237">
        <v>28.3</v>
      </c>
      <c r="J47" s="237">
        <v>28.3</v>
      </c>
      <c r="K47" s="237">
        <v>28.3</v>
      </c>
      <c r="L47" s="237">
        <v>28.3</v>
      </c>
      <c r="M47" s="237">
        <v>28.3</v>
      </c>
      <c r="N47" s="221">
        <v>28.6</v>
      </c>
      <c r="O47" s="221">
        <v>28.6</v>
      </c>
      <c r="P47" s="221">
        <v>28.7</v>
      </c>
      <c r="Q47" s="221">
        <v>28.7</v>
      </c>
      <c r="R47" s="221">
        <v>28.7</v>
      </c>
      <c r="S47" s="221">
        <v>28.7</v>
      </c>
      <c r="T47" s="221">
        <v>28.7</v>
      </c>
      <c r="U47" s="221">
        <v>28.7</v>
      </c>
      <c r="V47" s="221">
        <v>28.7</v>
      </c>
      <c r="W47" s="221">
        <v>28.7</v>
      </c>
      <c r="X47" s="221">
        <v>15</v>
      </c>
      <c r="Y47" s="221">
        <v>28.5</v>
      </c>
      <c r="Z47" s="221">
        <v>28.5</v>
      </c>
      <c r="AA47" s="221">
        <v>28.5</v>
      </c>
      <c r="AB47" s="221">
        <v>28.5</v>
      </c>
      <c r="AC47" s="237">
        <v>28.6</v>
      </c>
      <c r="AD47" s="237">
        <v>28.5</v>
      </c>
      <c r="AE47" s="237">
        <v>28.5</v>
      </c>
      <c r="AF47" s="237">
        <v>28.6</v>
      </c>
      <c r="AG47" s="235">
        <v>30</v>
      </c>
      <c r="AH47" s="226">
        <f t="shared" si="2"/>
        <v>28.7</v>
      </c>
      <c r="AI47" s="227">
        <f t="shared" si="3"/>
        <v>15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6</v>
      </c>
      <c r="N48" s="245">
        <v>8</v>
      </c>
      <c r="O48" s="245">
        <v>8</v>
      </c>
      <c r="P48" s="221">
        <v>10</v>
      </c>
      <c r="Q48" s="221">
        <v>10</v>
      </c>
      <c r="R48" s="221">
        <v>10</v>
      </c>
      <c r="S48" s="221">
        <v>14</v>
      </c>
      <c r="T48" s="221">
        <v>14</v>
      </c>
      <c r="U48" s="221">
        <v>14</v>
      </c>
      <c r="V48" s="221">
        <v>14</v>
      </c>
      <c r="W48" s="221">
        <v>14</v>
      </c>
      <c r="X48" s="221">
        <v>14</v>
      </c>
      <c r="Y48" s="221">
        <v>14</v>
      </c>
      <c r="Z48" s="221">
        <v>14</v>
      </c>
      <c r="AA48" s="221">
        <v>14</v>
      </c>
      <c r="AB48" s="221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14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17.2</v>
      </c>
      <c r="C49" s="245">
        <v>17.2</v>
      </c>
      <c r="D49" s="245">
        <v>17.2</v>
      </c>
      <c r="E49" s="245">
        <v>17.2</v>
      </c>
      <c r="F49" s="245">
        <v>17.2</v>
      </c>
      <c r="G49" s="245">
        <v>17.2</v>
      </c>
      <c r="H49" s="245">
        <v>17.2</v>
      </c>
      <c r="I49" s="245">
        <v>17.2</v>
      </c>
      <c r="J49" s="245">
        <v>17.2</v>
      </c>
      <c r="K49" s="245">
        <v>17.2</v>
      </c>
      <c r="L49" s="245">
        <v>17.2</v>
      </c>
      <c r="M49" s="245">
        <v>17.100000000000001</v>
      </c>
      <c r="N49" s="245">
        <v>17.100000000000001</v>
      </c>
      <c r="O49" s="245">
        <v>17.100000000000001</v>
      </c>
      <c r="P49" s="221">
        <v>17.100000000000001</v>
      </c>
      <c r="Q49" s="221">
        <v>17.100000000000001</v>
      </c>
      <c r="R49" s="221">
        <v>17.100000000000001</v>
      </c>
      <c r="S49" s="221">
        <v>16.600000000000001</v>
      </c>
      <c r="T49" s="221">
        <v>16.600000000000001</v>
      </c>
      <c r="U49" s="221">
        <v>16.600000000000001</v>
      </c>
      <c r="V49" s="221">
        <v>16.600000000000001</v>
      </c>
      <c r="W49" s="221">
        <v>16.600000000000001</v>
      </c>
      <c r="X49" s="221">
        <v>16.600000000000001</v>
      </c>
      <c r="Y49" s="221">
        <v>16.600000000000001</v>
      </c>
      <c r="Z49" s="221">
        <v>16.600000000000001</v>
      </c>
      <c r="AA49" s="221">
        <v>16.600000000000001</v>
      </c>
      <c r="AB49" s="221">
        <v>16.600000000000001</v>
      </c>
      <c r="AC49" s="245">
        <v>17.3</v>
      </c>
      <c r="AD49" s="245">
        <v>17.3</v>
      </c>
      <c r="AE49" s="245">
        <v>17.3</v>
      </c>
      <c r="AF49" s="245">
        <v>17.3</v>
      </c>
      <c r="AG49" s="235">
        <v>24</v>
      </c>
      <c r="AH49" s="226">
        <f t="shared" si="2"/>
        <v>17.3</v>
      </c>
      <c r="AI49" s="227">
        <f t="shared" si="3"/>
        <v>16.600000000000001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13.1</v>
      </c>
      <c r="C51" s="245">
        <v>13.1</v>
      </c>
      <c r="D51" s="245">
        <v>13.1</v>
      </c>
      <c r="E51" s="245">
        <v>13.1</v>
      </c>
      <c r="F51" s="245">
        <v>13.1</v>
      </c>
      <c r="G51" s="245">
        <v>13.1</v>
      </c>
      <c r="H51" s="245">
        <v>13.1</v>
      </c>
      <c r="I51" s="245">
        <v>13.1</v>
      </c>
      <c r="J51" s="245">
        <v>13.1</v>
      </c>
      <c r="K51" s="245">
        <v>13.1</v>
      </c>
      <c r="L51" s="245">
        <v>13.1</v>
      </c>
      <c r="M51" s="245">
        <v>12.7</v>
      </c>
      <c r="N51" s="245">
        <v>12.7</v>
      </c>
      <c r="O51" s="245">
        <v>12.7</v>
      </c>
      <c r="P51" s="221">
        <v>12.9</v>
      </c>
      <c r="Q51" s="221">
        <v>12.9</v>
      </c>
      <c r="R51" s="221">
        <v>12.9</v>
      </c>
      <c r="S51" s="221">
        <v>12.9</v>
      </c>
      <c r="T51" s="221">
        <v>12.9</v>
      </c>
      <c r="U51" s="221">
        <v>12.9</v>
      </c>
      <c r="V51" s="221">
        <v>12.9</v>
      </c>
      <c r="W51" s="221">
        <v>12.9</v>
      </c>
      <c r="X51" s="221">
        <v>12.9</v>
      </c>
      <c r="Y51" s="221">
        <v>12.9</v>
      </c>
      <c r="Z51" s="221">
        <v>12.9</v>
      </c>
      <c r="AA51" s="221">
        <v>12.9</v>
      </c>
      <c r="AB51" s="221">
        <v>12.9</v>
      </c>
      <c r="AC51" s="245">
        <v>12.8</v>
      </c>
      <c r="AD51" s="245">
        <v>12.8</v>
      </c>
      <c r="AE51" s="245">
        <v>12.8</v>
      </c>
      <c r="AF51" s="245">
        <v>12.8</v>
      </c>
      <c r="AG51" s="235">
        <v>14.1</v>
      </c>
      <c r="AH51" s="226">
        <f t="shared" si="2"/>
        <v>13.1</v>
      </c>
      <c r="AI51" s="227">
        <f t="shared" si="3"/>
        <v>12.7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</v>
      </c>
      <c r="G52" s="245">
        <v>7</v>
      </c>
      <c r="H52" s="245">
        <v>14</v>
      </c>
      <c r="I52" s="245">
        <v>14</v>
      </c>
      <c r="J52" s="245">
        <v>14</v>
      </c>
      <c r="K52" s="245">
        <v>14</v>
      </c>
      <c r="L52" s="245">
        <v>4</v>
      </c>
      <c r="M52" s="245">
        <v>6.7</v>
      </c>
      <c r="N52" s="245">
        <v>6.7</v>
      </c>
      <c r="O52" s="245">
        <v>6.7</v>
      </c>
      <c r="P52" s="221">
        <v>0</v>
      </c>
      <c r="Q52" s="221">
        <v>0</v>
      </c>
      <c r="R52" s="221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0</v>
      </c>
      <c r="AB52" s="221">
        <v>14</v>
      </c>
      <c r="AC52" s="245">
        <v>14</v>
      </c>
      <c r="AD52" s="245">
        <v>14</v>
      </c>
      <c r="AE52" s="245">
        <v>0</v>
      </c>
      <c r="AF52" s="245">
        <v>0</v>
      </c>
      <c r="AG52" s="235">
        <v>14</v>
      </c>
      <c r="AH52" s="226">
        <f t="shared" si="2"/>
        <v>14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21">
        <v>9.1</v>
      </c>
      <c r="Q53" s="221">
        <v>9.1</v>
      </c>
      <c r="R53" s="221">
        <v>0</v>
      </c>
      <c r="S53" s="221">
        <v>0</v>
      </c>
      <c r="T53" s="221">
        <v>0</v>
      </c>
      <c r="U53" s="221">
        <v>0</v>
      </c>
      <c r="V53" s="221">
        <v>0</v>
      </c>
      <c r="W53" s="221">
        <v>0</v>
      </c>
      <c r="X53" s="221">
        <v>0</v>
      </c>
      <c r="Y53" s="221">
        <v>0</v>
      </c>
      <c r="Z53" s="221">
        <v>0</v>
      </c>
      <c r="AA53" s="221">
        <v>0</v>
      </c>
      <c r="AB53" s="221">
        <v>10</v>
      </c>
      <c r="AC53" s="245">
        <v>10</v>
      </c>
      <c r="AD53" s="245">
        <v>10</v>
      </c>
      <c r="AE53" s="245">
        <v>10</v>
      </c>
      <c r="AF53" s="245">
        <v>10</v>
      </c>
      <c r="AG53" s="235">
        <v>10.050000000000001</v>
      </c>
      <c r="AH53" s="226">
        <f t="shared" si="2"/>
        <v>10</v>
      </c>
      <c r="AI53" s="227">
        <f t="shared" si="3"/>
        <v>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436.04</v>
      </c>
      <c r="C56" s="241">
        <f t="shared" ref="C56:AG56" si="6">SUM(C43:C55)</f>
        <v>436.04</v>
      </c>
      <c r="D56" s="241">
        <f t="shared" si="6"/>
        <v>436.04</v>
      </c>
      <c r="E56" s="241">
        <f t="shared" si="6"/>
        <v>436.04</v>
      </c>
      <c r="F56" s="241">
        <f t="shared" si="6"/>
        <v>420.54</v>
      </c>
      <c r="G56" s="241">
        <f t="shared" si="6"/>
        <v>426.54</v>
      </c>
      <c r="H56" s="241">
        <f t="shared" si="6"/>
        <v>433.54</v>
      </c>
      <c r="I56" s="241">
        <f t="shared" si="6"/>
        <v>433.54</v>
      </c>
      <c r="J56" s="241">
        <f t="shared" si="6"/>
        <v>433.54</v>
      </c>
      <c r="K56" s="241">
        <f t="shared" si="6"/>
        <v>433.54</v>
      </c>
      <c r="L56" s="241">
        <f t="shared" si="6"/>
        <v>423.54</v>
      </c>
      <c r="M56" s="241">
        <f t="shared" si="6"/>
        <v>433.84</v>
      </c>
      <c r="N56" s="241">
        <f t="shared" si="6"/>
        <v>436.94</v>
      </c>
      <c r="O56" s="241">
        <f t="shared" si="6"/>
        <v>436.94</v>
      </c>
      <c r="P56" s="241">
        <f t="shared" si="6"/>
        <v>383.04</v>
      </c>
      <c r="Q56" s="241">
        <f t="shared" si="6"/>
        <v>431.74</v>
      </c>
      <c r="R56" s="241">
        <f t="shared" si="6"/>
        <v>436.64</v>
      </c>
      <c r="S56" s="241">
        <f t="shared" si="6"/>
        <v>440.14</v>
      </c>
      <c r="T56" s="241">
        <f t="shared" si="6"/>
        <v>440.14</v>
      </c>
      <c r="U56" s="241">
        <f t="shared" si="6"/>
        <v>440.14</v>
      </c>
      <c r="V56" s="241">
        <f t="shared" si="6"/>
        <v>440.14</v>
      </c>
      <c r="W56" s="241">
        <f t="shared" si="6"/>
        <v>440.14</v>
      </c>
      <c r="X56" s="241">
        <f t="shared" si="6"/>
        <v>426.44</v>
      </c>
      <c r="Y56" s="241">
        <f t="shared" si="6"/>
        <v>439.94</v>
      </c>
      <c r="Z56" s="241">
        <f t="shared" si="6"/>
        <v>439.94</v>
      </c>
      <c r="AA56" s="241">
        <f t="shared" si="6"/>
        <v>425.94</v>
      </c>
      <c r="AB56" s="241">
        <f t="shared" si="6"/>
        <v>432.64</v>
      </c>
      <c r="AC56" s="241">
        <f t="shared" si="6"/>
        <v>438.14000000000004</v>
      </c>
      <c r="AD56" s="241">
        <f t="shared" si="6"/>
        <v>437.94000000000005</v>
      </c>
      <c r="AE56" s="241">
        <f t="shared" si="6"/>
        <v>423.94000000000005</v>
      </c>
      <c r="AF56" s="241">
        <f t="shared" si="6"/>
        <v>423.64000000000004</v>
      </c>
      <c r="AG56" s="242">
        <f t="shared" si="6"/>
        <v>489.91</v>
      </c>
      <c r="AH56" s="226">
        <f t="shared" si="2"/>
        <v>440.14</v>
      </c>
      <c r="AI56" s="227">
        <f t="shared" si="3"/>
        <v>383.04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30.3</v>
      </c>
      <c r="Q57" s="221">
        <v>60</v>
      </c>
      <c r="R57" s="221">
        <v>29.2</v>
      </c>
      <c r="S57" s="221">
        <v>15</v>
      </c>
      <c r="T57" s="221">
        <v>30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30</v>
      </c>
      <c r="AA57" s="221">
        <v>59</v>
      </c>
      <c r="AB57" s="221">
        <v>39</v>
      </c>
      <c r="AC57" s="221">
        <v>10.7</v>
      </c>
      <c r="AD57" s="221">
        <v>20</v>
      </c>
      <c r="AE57" s="221">
        <v>30</v>
      </c>
      <c r="AF57" s="221">
        <v>0</v>
      </c>
      <c r="AG57" s="230">
        <v>60</v>
      </c>
      <c r="AH57" s="226">
        <f t="shared" si="2"/>
        <v>60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9.3000000000000007</v>
      </c>
      <c r="Q58" s="245">
        <v>25</v>
      </c>
      <c r="R58" s="245">
        <v>15</v>
      </c>
      <c r="S58" s="245">
        <v>6.3</v>
      </c>
      <c r="T58" s="245">
        <v>12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6.2</v>
      </c>
      <c r="AA58" s="245">
        <v>24</v>
      </c>
      <c r="AB58" s="245">
        <v>17.8</v>
      </c>
      <c r="AC58" s="245">
        <v>7</v>
      </c>
      <c r="AD58" s="245">
        <v>4.7</v>
      </c>
      <c r="AE58" s="245">
        <v>14</v>
      </c>
      <c r="AF58" s="245">
        <v>0</v>
      </c>
      <c r="AG58" s="235">
        <v>32</v>
      </c>
      <c r="AH58" s="226">
        <f t="shared" si="2"/>
        <v>25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3.7</v>
      </c>
      <c r="Q59" s="247">
        <v>9.1</v>
      </c>
      <c r="R59" s="247">
        <v>5.5</v>
      </c>
      <c r="S59" s="247">
        <v>5.5</v>
      </c>
      <c r="T59" s="247">
        <v>5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2.2999999999999998</v>
      </c>
      <c r="AA59" s="247">
        <v>8.8000000000000007</v>
      </c>
      <c r="AB59" s="247">
        <v>6.5</v>
      </c>
      <c r="AC59" s="247">
        <v>2.6</v>
      </c>
      <c r="AD59" s="247">
        <v>1.7</v>
      </c>
      <c r="AE59" s="247">
        <v>5.5</v>
      </c>
      <c r="AF59" s="247">
        <v>0</v>
      </c>
      <c r="AG59" s="248">
        <v>14</v>
      </c>
      <c r="AH59" s="226">
        <f t="shared" si="2"/>
        <v>9.1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43.300000000000004</v>
      </c>
      <c r="Q60" s="241">
        <f t="shared" si="7"/>
        <v>94.1</v>
      </c>
      <c r="R60" s="241">
        <f t="shared" si="7"/>
        <v>49.7</v>
      </c>
      <c r="S60" s="241">
        <f t="shared" si="7"/>
        <v>26.8</v>
      </c>
      <c r="T60" s="241">
        <f t="shared" si="7"/>
        <v>47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38.5</v>
      </c>
      <c r="AA60" s="241">
        <f t="shared" si="7"/>
        <v>91.8</v>
      </c>
      <c r="AB60" s="241">
        <f t="shared" si="7"/>
        <v>63.3</v>
      </c>
      <c r="AC60" s="241">
        <f t="shared" si="7"/>
        <v>20.3</v>
      </c>
      <c r="AD60" s="241">
        <f t="shared" si="7"/>
        <v>26.4</v>
      </c>
      <c r="AE60" s="241">
        <f t="shared" si="7"/>
        <v>49.5</v>
      </c>
      <c r="AF60" s="241">
        <f t="shared" si="7"/>
        <v>0</v>
      </c>
      <c r="AG60" s="242">
        <f t="shared" si="7"/>
        <v>106</v>
      </c>
      <c r="AH60" s="226">
        <f t="shared" si="2"/>
        <v>94.1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69.8</v>
      </c>
      <c r="C61" s="221">
        <v>69</v>
      </c>
      <c r="D61" s="221">
        <v>61.7</v>
      </c>
      <c r="E61" s="221">
        <v>25.9</v>
      </c>
      <c r="F61" s="221">
        <v>23.6</v>
      </c>
      <c r="G61" s="221">
        <v>1</v>
      </c>
      <c r="H61" s="221">
        <v>0</v>
      </c>
      <c r="I61" s="221">
        <v>0</v>
      </c>
      <c r="J61" s="221">
        <v>10.9</v>
      </c>
      <c r="K61" s="221">
        <v>32</v>
      </c>
      <c r="L61" s="221">
        <v>38.4</v>
      </c>
      <c r="M61" s="221">
        <v>33.1</v>
      </c>
      <c r="N61" s="221">
        <v>38</v>
      </c>
      <c r="O61" s="221">
        <v>37.200000000000003</v>
      </c>
      <c r="P61" s="221">
        <v>42.7</v>
      </c>
      <c r="Q61" s="221">
        <v>56.6</v>
      </c>
      <c r="R61" s="221">
        <v>61.3</v>
      </c>
      <c r="S61" s="221">
        <v>53.3</v>
      </c>
      <c r="T61" s="221">
        <v>64</v>
      </c>
      <c r="U61" s="221">
        <v>56</v>
      </c>
      <c r="V61" s="221">
        <v>49</v>
      </c>
      <c r="W61" s="221">
        <v>68</v>
      </c>
      <c r="X61" s="221">
        <v>66</v>
      </c>
      <c r="Y61" s="221">
        <v>47</v>
      </c>
      <c r="Z61" s="221">
        <v>54.8</v>
      </c>
      <c r="AA61" s="221">
        <v>68</v>
      </c>
      <c r="AB61" s="221">
        <v>67.400000000000006</v>
      </c>
      <c r="AC61" s="221">
        <v>70.099999999999994</v>
      </c>
      <c r="AD61" s="221">
        <v>71.3</v>
      </c>
      <c r="AE61" s="221">
        <v>70.2</v>
      </c>
      <c r="AF61" s="221">
        <v>68.2</v>
      </c>
      <c r="AG61" s="230"/>
      <c r="AH61" s="226">
        <f t="shared" si="2"/>
        <v>71.3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-323</v>
      </c>
      <c r="C63" s="245">
        <v>-333</v>
      </c>
      <c r="D63" s="245">
        <v>-351</v>
      </c>
      <c r="E63" s="245">
        <v>-352.9</v>
      </c>
      <c r="F63" s="245">
        <v>-367</v>
      </c>
      <c r="G63" s="245">
        <v>-374</v>
      </c>
      <c r="H63" s="245">
        <v>-398</v>
      </c>
      <c r="I63" s="245">
        <v>-411</v>
      </c>
      <c r="J63" s="245">
        <v>-391</v>
      </c>
      <c r="K63" s="245">
        <v>-357</v>
      </c>
      <c r="L63" s="245">
        <v>-326</v>
      </c>
      <c r="M63" s="245">
        <v>-304.2</v>
      </c>
      <c r="N63" s="245">
        <v>-296</v>
      </c>
      <c r="O63" s="245">
        <v>-244.9</v>
      </c>
      <c r="P63" s="245">
        <v>-240.7</v>
      </c>
      <c r="Q63" s="245">
        <v>-205</v>
      </c>
      <c r="R63" s="245">
        <v>-245</v>
      </c>
      <c r="S63" s="245">
        <v>-258.5</v>
      </c>
      <c r="T63" s="245">
        <v>-260</v>
      </c>
      <c r="U63" s="245">
        <v>-260</v>
      </c>
      <c r="V63" s="245">
        <v>-291</v>
      </c>
      <c r="W63" s="245">
        <v>-317</v>
      </c>
      <c r="X63" s="245">
        <v>-324</v>
      </c>
      <c r="Y63" s="245">
        <v>-280</v>
      </c>
      <c r="Z63" s="245">
        <v>-190</v>
      </c>
      <c r="AA63" s="245">
        <v>-188</v>
      </c>
      <c r="AB63" s="245">
        <v>-212.6</v>
      </c>
      <c r="AC63" s="245">
        <v>-210.2</v>
      </c>
      <c r="AD63" s="245">
        <v>-245.3</v>
      </c>
      <c r="AE63" s="245">
        <v>-298</v>
      </c>
      <c r="AF63" s="245">
        <v>-332.8</v>
      </c>
      <c r="AG63" s="255"/>
      <c r="AH63" s="226">
        <f t="shared" si="2"/>
        <v>-188</v>
      </c>
      <c r="AI63" s="227">
        <f t="shared" si="3"/>
        <v>-411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6</v>
      </c>
      <c r="C66" s="257">
        <v>6</v>
      </c>
      <c r="D66" s="257">
        <v>6</v>
      </c>
      <c r="E66" s="257">
        <v>6</v>
      </c>
      <c r="F66" s="257">
        <v>6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6</v>
      </c>
      <c r="AC66" s="257">
        <v>6</v>
      </c>
      <c r="AD66" s="257">
        <v>6</v>
      </c>
      <c r="AE66" s="257">
        <v>6</v>
      </c>
      <c r="AF66" s="257">
        <v>6</v>
      </c>
      <c r="AG66" s="255"/>
      <c r="AH66" s="226">
        <f t="shared" si="2"/>
        <v>6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7">
        <v>0</v>
      </c>
      <c r="H68" s="257">
        <v>0</v>
      </c>
      <c r="I68" s="257">
        <v>0</v>
      </c>
      <c r="J68" s="257">
        <v>0</v>
      </c>
      <c r="K68" s="257">
        <v>0</v>
      </c>
      <c r="L68" s="257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4</v>
      </c>
      <c r="AF68" s="256">
        <v>4</v>
      </c>
      <c r="AG68" s="255"/>
      <c r="AH68" s="226">
        <f t="shared" si="2"/>
        <v>4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7">
        <v>0</v>
      </c>
      <c r="H69" s="257">
        <v>0</v>
      </c>
      <c r="I69" s="257">
        <v>0</v>
      </c>
      <c r="J69" s="257">
        <v>0</v>
      </c>
      <c r="K69" s="257">
        <v>0</v>
      </c>
      <c r="L69" s="257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7">
        <v>0</v>
      </c>
      <c r="H70" s="257">
        <v>0</v>
      </c>
      <c r="I70" s="257">
        <v>0</v>
      </c>
      <c r="J70" s="257">
        <v>0</v>
      </c>
      <c r="K70" s="257">
        <v>0</v>
      </c>
      <c r="L70" s="257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7">
        <v>0</v>
      </c>
      <c r="H71" s="257">
        <v>0</v>
      </c>
      <c r="I71" s="257">
        <v>0</v>
      </c>
      <c r="J71" s="257">
        <v>0</v>
      </c>
      <c r="K71" s="257">
        <v>0</v>
      </c>
      <c r="L71" s="257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75.8</v>
      </c>
      <c r="C72" s="241">
        <f t="shared" ref="C72:L72" si="8">SUMIF(C61:C71,"&gt;0")</f>
        <v>75</v>
      </c>
      <c r="D72" s="241">
        <f t="shared" si="8"/>
        <v>67.7</v>
      </c>
      <c r="E72" s="241">
        <f t="shared" si="8"/>
        <v>31.9</v>
      </c>
      <c r="F72" s="241">
        <f t="shared" si="8"/>
        <v>29.6</v>
      </c>
      <c r="G72" s="241">
        <f t="shared" si="8"/>
        <v>1</v>
      </c>
      <c r="H72" s="241">
        <f t="shared" si="8"/>
        <v>0</v>
      </c>
      <c r="I72" s="241">
        <f t="shared" si="8"/>
        <v>0</v>
      </c>
      <c r="J72" s="241">
        <f t="shared" si="8"/>
        <v>10.9</v>
      </c>
      <c r="K72" s="241">
        <f t="shared" si="8"/>
        <v>32</v>
      </c>
      <c r="L72" s="241">
        <f t="shared" si="8"/>
        <v>38.4</v>
      </c>
      <c r="M72" s="241">
        <f>SUMIF(M61:M71,"&gt;0")</f>
        <v>33.1</v>
      </c>
      <c r="N72" s="241">
        <f t="shared" ref="N72:AF72" si="9">SUMIF(N61:N71,"&gt;0")</f>
        <v>38</v>
      </c>
      <c r="O72" s="241">
        <f t="shared" si="9"/>
        <v>37.200000000000003</v>
      </c>
      <c r="P72" s="241">
        <f t="shared" si="9"/>
        <v>42.7</v>
      </c>
      <c r="Q72" s="241">
        <f t="shared" si="9"/>
        <v>56.6</v>
      </c>
      <c r="R72" s="241">
        <f t="shared" si="9"/>
        <v>61.3</v>
      </c>
      <c r="S72" s="241">
        <f t="shared" si="9"/>
        <v>53.3</v>
      </c>
      <c r="T72" s="241">
        <f t="shared" si="9"/>
        <v>64</v>
      </c>
      <c r="U72" s="241">
        <f t="shared" si="9"/>
        <v>56</v>
      </c>
      <c r="V72" s="241">
        <f t="shared" si="9"/>
        <v>49</v>
      </c>
      <c r="W72" s="241">
        <f t="shared" si="9"/>
        <v>68</v>
      </c>
      <c r="X72" s="241">
        <f t="shared" si="9"/>
        <v>66</v>
      </c>
      <c r="Y72" s="241">
        <f t="shared" si="9"/>
        <v>47</v>
      </c>
      <c r="Z72" s="241">
        <f t="shared" si="9"/>
        <v>54.8</v>
      </c>
      <c r="AA72" s="241">
        <f t="shared" si="9"/>
        <v>68</v>
      </c>
      <c r="AB72" s="241">
        <f t="shared" si="9"/>
        <v>73.400000000000006</v>
      </c>
      <c r="AC72" s="241">
        <f t="shared" si="9"/>
        <v>76.099999999999994</v>
      </c>
      <c r="AD72" s="241">
        <f t="shared" si="9"/>
        <v>77.3</v>
      </c>
      <c r="AE72" s="241">
        <f t="shared" si="9"/>
        <v>80.2</v>
      </c>
      <c r="AF72" s="241">
        <f t="shared" si="9"/>
        <v>78.2</v>
      </c>
      <c r="AG72" s="261">
        <f>SUM(AG61:AG71)</f>
        <v>0</v>
      </c>
      <c r="AH72" s="226">
        <f t="shared" si="2"/>
        <v>80.2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1870.9399999999998</v>
      </c>
      <c r="C77" s="263">
        <f t="shared" ref="C77:AF77" si="10">C38+C42+C60+C56+C72+C76</f>
        <v>1859.1399999999999</v>
      </c>
      <c r="D77" s="263">
        <f t="shared" si="10"/>
        <v>1830.14</v>
      </c>
      <c r="E77" s="263">
        <f t="shared" si="10"/>
        <v>1818.04</v>
      </c>
      <c r="F77" s="263">
        <f t="shared" si="10"/>
        <v>1803.2399999999998</v>
      </c>
      <c r="G77" s="263">
        <f t="shared" si="10"/>
        <v>1804.6399999999999</v>
      </c>
      <c r="H77" s="263">
        <f t="shared" si="10"/>
        <v>1803.6399999999999</v>
      </c>
      <c r="I77" s="263">
        <f t="shared" si="10"/>
        <v>1799.6399999999999</v>
      </c>
      <c r="J77" s="263">
        <f t="shared" si="10"/>
        <v>1825.54</v>
      </c>
      <c r="K77" s="263">
        <f t="shared" si="10"/>
        <v>1851.6399999999999</v>
      </c>
      <c r="L77" s="263">
        <f t="shared" si="10"/>
        <v>1855.04</v>
      </c>
      <c r="M77" s="263">
        <f t="shared" si="10"/>
        <v>1862.0399999999997</v>
      </c>
      <c r="N77" s="263">
        <f t="shared" si="10"/>
        <v>1866.04</v>
      </c>
      <c r="O77" s="263">
        <f t="shared" si="10"/>
        <v>1865.24</v>
      </c>
      <c r="P77" s="263">
        <f t="shared" si="10"/>
        <v>1785.1399999999999</v>
      </c>
      <c r="Q77" s="263">
        <f t="shared" si="10"/>
        <v>1898.5399999999997</v>
      </c>
      <c r="R77" s="263">
        <f t="shared" si="10"/>
        <v>1908.74</v>
      </c>
      <c r="S77" s="263">
        <f t="shared" si="10"/>
        <v>1913.5400000000002</v>
      </c>
      <c r="T77" s="263">
        <f t="shared" si="10"/>
        <v>1944.44</v>
      </c>
      <c r="U77" s="263">
        <f t="shared" si="10"/>
        <v>1889.44</v>
      </c>
      <c r="V77" s="263">
        <f t="shared" si="10"/>
        <v>1882.44</v>
      </c>
      <c r="W77" s="263">
        <f t="shared" si="10"/>
        <v>1898.44</v>
      </c>
      <c r="X77" s="263">
        <f t="shared" si="10"/>
        <v>1882.7400000000002</v>
      </c>
      <c r="Y77" s="263">
        <f t="shared" si="10"/>
        <v>1877.2400000000002</v>
      </c>
      <c r="Z77" s="263">
        <f t="shared" si="10"/>
        <v>1928.5400000000002</v>
      </c>
      <c r="AA77" s="263">
        <f t="shared" si="10"/>
        <v>1943.04</v>
      </c>
      <c r="AB77" s="263">
        <f t="shared" si="10"/>
        <v>1959.7400000000002</v>
      </c>
      <c r="AC77" s="263">
        <f t="shared" si="10"/>
        <v>1924.94</v>
      </c>
      <c r="AD77" s="263">
        <f t="shared" si="10"/>
        <v>1932.0400000000002</v>
      </c>
      <c r="AE77" s="263">
        <f t="shared" si="10"/>
        <v>1879.0400000000002</v>
      </c>
      <c r="AF77" s="263">
        <f t="shared" si="10"/>
        <v>1877.3400000000001</v>
      </c>
      <c r="AG77" s="242">
        <f>AG38+AG42+AG60+AG56+AG72+AG76</f>
        <v>1855.1900000000003</v>
      </c>
      <c r="AH77" s="226">
        <f t="shared" si="2"/>
        <v>1959.7400000000002</v>
      </c>
      <c r="AI77" s="227">
        <f t="shared" si="3"/>
        <v>1785.1399999999999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>
        <v>45</v>
      </c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>
        <v>12</v>
      </c>
      <c r="AF78" s="265"/>
      <c r="AG78" s="261"/>
      <c r="AH78" s="226">
        <f t="shared" si="2"/>
        <v>45</v>
      </c>
      <c r="AI78" s="227">
        <f t="shared" si="3"/>
        <v>12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1870.9399999999998</v>
      </c>
      <c r="C79" s="263">
        <f t="shared" ref="C79:AF79" si="11">C77+C78</f>
        <v>1859.1399999999999</v>
      </c>
      <c r="D79" s="263">
        <f t="shared" si="11"/>
        <v>1830.14</v>
      </c>
      <c r="E79" s="263">
        <f t="shared" si="11"/>
        <v>1818.04</v>
      </c>
      <c r="F79" s="263">
        <f t="shared" si="11"/>
        <v>1803.2399999999998</v>
      </c>
      <c r="G79" s="263">
        <f t="shared" si="11"/>
        <v>1804.6399999999999</v>
      </c>
      <c r="H79" s="263">
        <f t="shared" si="11"/>
        <v>1803.6399999999999</v>
      </c>
      <c r="I79" s="263">
        <f t="shared" si="11"/>
        <v>1799.6399999999999</v>
      </c>
      <c r="J79" s="263">
        <f t="shared" si="11"/>
        <v>1825.54</v>
      </c>
      <c r="K79" s="263">
        <f t="shared" si="11"/>
        <v>1851.6399999999999</v>
      </c>
      <c r="L79" s="263">
        <f t="shared" si="11"/>
        <v>1855.04</v>
      </c>
      <c r="M79" s="263">
        <f t="shared" si="11"/>
        <v>1862.0399999999997</v>
      </c>
      <c r="N79" s="263">
        <f t="shared" si="11"/>
        <v>1866.04</v>
      </c>
      <c r="O79" s="263">
        <f t="shared" si="11"/>
        <v>1865.24</v>
      </c>
      <c r="P79" s="263">
        <f t="shared" si="11"/>
        <v>1830.1399999999999</v>
      </c>
      <c r="Q79" s="263">
        <f t="shared" si="11"/>
        <v>1898.5399999999997</v>
      </c>
      <c r="R79" s="263">
        <f t="shared" si="11"/>
        <v>1908.74</v>
      </c>
      <c r="S79" s="263">
        <f t="shared" si="11"/>
        <v>1913.5400000000002</v>
      </c>
      <c r="T79" s="263">
        <f t="shared" si="11"/>
        <v>1944.44</v>
      </c>
      <c r="U79" s="263">
        <f t="shared" si="11"/>
        <v>1889.44</v>
      </c>
      <c r="V79" s="263">
        <f t="shared" si="11"/>
        <v>1882.44</v>
      </c>
      <c r="W79" s="263">
        <f t="shared" si="11"/>
        <v>1898.44</v>
      </c>
      <c r="X79" s="263">
        <f t="shared" si="11"/>
        <v>1882.7400000000002</v>
      </c>
      <c r="Y79" s="263">
        <f t="shared" si="11"/>
        <v>1877.2400000000002</v>
      </c>
      <c r="Z79" s="263">
        <f t="shared" si="11"/>
        <v>1928.5400000000002</v>
      </c>
      <c r="AA79" s="263">
        <f t="shared" si="11"/>
        <v>1943.04</v>
      </c>
      <c r="AB79" s="263">
        <f t="shared" si="11"/>
        <v>1959.7400000000002</v>
      </c>
      <c r="AC79" s="263">
        <f t="shared" si="11"/>
        <v>1924.94</v>
      </c>
      <c r="AD79" s="263">
        <f t="shared" si="11"/>
        <v>1932.0400000000002</v>
      </c>
      <c r="AE79" s="263">
        <f t="shared" si="11"/>
        <v>1891.0400000000002</v>
      </c>
      <c r="AF79" s="263">
        <f t="shared" si="11"/>
        <v>1877.3400000000001</v>
      </c>
      <c r="AG79" s="261">
        <f>AG76+AG72+AG60+AG56+AG38+AG78</f>
        <v>1317.0900000000001</v>
      </c>
      <c r="AH79" s="226">
        <f t="shared" si="2"/>
        <v>1959.7400000000002</v>
      </c>
      <c r="AI79" s="227">
        <f t="shared" si="3"/>
        <v>1799.6399999999999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1547.9399999999998</v>
      </c>
      <c r="C80" s="263">
        <f t="shared" si="12"/>
        <v>1526.1399999999999</v>
      </c>
      <c r="D80" s="263">
        <f t="shared" si="12"/>
        <v>1479.14</v>
      </c>
      <c r="E80" s="263">
        <f t="shared" si="12"/>
        <v>1465.1399999999999</v>
      </c>
      <c r="F80" s="263">
        <f t="shared" si="12"/>
        <v>1436.2399999999998</v>
      </c>
      <c r="G80" s="263">
        <f t="shared" si="12"/>
        <v>1430.6399999999999</v>
      </c>
      <c r="H80" s="263">
        <f t="shared" si="12"/>
        <v>1405.6399999999999</v>
      </c>
      <c r="I80" s="263">
        <f t="shared" si="12"/>
        <v>1388.6399999999999</v>
      </c>
      <c r="J80" s="263">
        <f t="shared" si="12"/>
        <v>1434.54</v>
      </c>
      <c r="K80" s="263">
        <f t="shared" si="12"/>
        <v>1494.6399999999999</v>
      </c>
      <c r="L80" s="263">
        <f t="shared" si="12"/>
        <v>1529.04</v>
      </c>
      <c r="M80" s="263">
        <f t="shared" si="12"/>
        <v>1557.8399999999997</v>
      </c>
      <c r="N80" s="263">
        <f t="shared" si="12"/>
        <v>1570.04</v>
      </c>
      <c r="O80" s="263">
        <f t="shared" si="12"/>
        <v>1620.34</v>
      </c>
      <c r="P80" s="263">
        <f t="shared" si="12"/>
        <v>1589.4399999999998</v>
      </c>
      <c r="Q80" s="263">
        <f t="shared" si="12"/>
        <v>1693.5399999999997</v>
      </c>
      <c r="R80" s="263">
        <f t="shared" si="12"/>
        <v>1663.74</v>
      </c>
      <c r="S80" s="263">
        <f t="shared" si="12"/>
        <v>1655.0400000000002</v>
      </c>
      <c r="T80" s="263">
        <f t="shared" si="12"/>
        <v>1684.44</v>
      </c>
      <c r="U80" s="263">
        <f t="shared" si="12"/>
        <v>1629.44</v>
      </c>
      <c r="V80" s="263">
        <f t="shared" si="12"/>
        <v>1591.44</v>
      </c>
      <c r="W80" s="263">
        <f t="shared" si="12"/>
        <v>1581.44</v>
      </c>
      <c r="X80" s="263">
        <f t="shared" si="12"/>
        <v>1558.7400000000002</v>
      </c>
      <c r="Y80" s="263">
        <f t="shared" si="12"/>
        <v>1597.2400000000002</v>
      </c>
      <c r="Z80" s="263">
        <f t="shared" si="12"/>
        <v>1738.5400000000002</v>
      </c>
      <c r="AA80" s="263">
        <f t="shared" si="12"/>
        <v>1755.04</v>
      </c>
      <c r="AB80" s="263">
        <f t="shared" si="12"/>
        <v>1747.1400000000003</v>
      </c>
      <c r="AC80" s="263">
        <f t="shared" si="12"/>
        <v>1714.74</v>
      </c>
      <c r="AD80" s="263">
        <f t="shared" si="12"/>
        <v>1686.7400000000002</v>
      </c>
      <c r="AE80" s="263">
        <f t="shared" si="12"/>
        <v>1593.0400000000002</v>
      </c>
      <c r="AF80" s="263">
        <f t="shared" si="12"/>
        <v>1544.5400000000002</v>
      </c>
      <c r="AG80" s="261"/>
      <c r="AH80" s="226">
        <f t="shared" ref="AH80:AH97" si="13">MAX(B80:AF80)</f>
        <v>1755.04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323</v>
      </c>
      <c r="C84" s="256">
        <f t="shared" ref="C84:AF84" si="18">IF(C63&lt;0,C63*-1,0)</f>
        <v>333</v>
      </c>
      <c r="D84" s="256">
        <f t="shared" si="18"/>
        <v>351</v>
      </c>
      <c r="E84" s="256">
        <f t="shared" si="18"/>
        <v>352.9</v>
      </c>
      <c r="F84" s="256">
        <f t="shared" si="18"/>
        <v>367</v>
      </c>
      <c r="G84" s="256">
        <f t="shared" si="18"/>
        <v>374</v>
      </c>
      <c r="H84" s="256">
        <f t="shared" si="18"/>
        <v>398</v>
      </c>
      <c r="I84" s="256">
        <f t="shared" si="18"/>
        <v>411</v>
      </c>
      <c r="J84" s="256">
        <f t="shared" si="18"/>
        <v>391</v>
      </c>
      <c r="K84" s="256">
        <f t="shared" si="18"/>
        <v>357</v>
      </c>
      <c r="L84" s="256">
        <f t="shared" si="18"/>
        <v>326</v>
      </c>
      <c r="M84" s="256">
        <f t="shared" si="18"/>
        <v>304.2</v>
      </c>
      <c r="N84" s="256">
        <f t="shared" si="18"/>
        <v>296</v>
      </c>
      <c r="O84" s="256">
        <f t="shared" si="18"/>
        <v>244.9</v>
      </c>
      <c r="P84" s="256">
        <f t="shared" si="18"/>
        <v>240.7</v>
      </c>
      <c r="Q84" s="256">
        <f t="shared" si="18"/>
        <v>205</v>
      </c>
      <c r="R84" s="256">
        <f t="shared" si="18"/>
        <v>245</v>
      </c>
      <c r="S84" s="256">
        <f t="shared" si="18"/>
        <v>258.5</v>
      </c>
      <c r="T84" s="256">
        <f t="shared" si="18"/>
        <v>260</v>
      </c>
      <c r="U84" s="256">
        <f t="shared" si="18"/>
        <v>260</v>
      </c>
      <c r="V84" s="256">
        <f t="shared" si="18"/>
        <v>291</v>
      </c>
      <c r="W84" s="256">
        <f t="shared" si="18"/>
        <v>317</v>
      </c>
      <c r="X84" s="256">
        <f t="shared" si="18"/>
        <v>324</v>
      </c>
      <c r="Y84" s="256">
        <f t="shared" si="18"/>
        <v>280</v>
      </c>
      <c r="Z84" s="256">
        <f t="shared" si="18"/>
        <v>190</v>
      </c>
      <c r="AA84" s="256">
        <f t="shared" si="18"/>
        <v>188</v>
      </c>
      <c r="AB84" s="256">
        <f t="shared" si="18"/>
        <v>212.6</v>
      </c>
      <c r="AC84" s="256">
        <f t="shared" si="18"/>
        <v>210.2</v>
      </c>
      <c r="AD84" s="256">
        <f t="shared" si="18"/>
        <v>245.3</v>
      </c>
      <c r="AE84" s="256">
        <f t="shared" si="18"/>
        <v>298</v>
      </c>
      <c r="AF84" s="256">
        <f t="shared" si="18"/>
        <v>332.8</v>
      </c>
      <c r="AG84" s="266"/>
      <c r="AH84" s="226">
        <f t="shared" si="13"/>
        <v>411</v>
      </c>
      <c r="AI84" s="227">
        <f t="shared" si="15"/>
        <v>188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323</v>
      </c>
      <c r="C87" s="241">
        <f t="shared" ref="C87:AF87" si="20">SUM(C81:C86)</f>
        <v>333</v>
      </c>
      <c r="D87" s="241">
        <f t="shared" si="20"/>
        <v>351</v>
      </c>
      <c r="E87" s="241">
        <f t="shared" si="20"/>
        <v>352.9</v>
      </c>
      <c r="F87" s="241">
        <f t="shared" si="20"/>
        <v>367</v>
      </c>
      <c r="G87" s="241">
        <f t="shared" si="20"/>
        <v>374</v>
      </c>
      <c r="H87" s="241">
        <f t="shared" si="20"/>
        <v>398</v>
      </c>
      <c r="I87" s="241">
        <f t="shared" si="20"/>
        <v>411</v>
      </c>
      <c r="J87" s="241">
        <f t="shared" si="20"/>
        <v>391</v>
      </c>
      <c r="K87" s="241">
        <f t="shared" si="20"/>
        <v>357</v>
      </c>
      <c r="L87" s="241">
        <f t="shared" si="20"/>
        <v>326</v>
      </c>
      <c r="M87" s="241">
        <f t="shared" si="20"/>
        <v>304.2</v>
      </c>
      <c r="N87" s="241">
        <f t="shared" si="20"/>
        <v>296</v>
      </c>
      <c r="O87" s="241">
        <f t="shared" si="20"/>
        <v>244.9</v>
      </c>
      <c r="P87" s="241">
        <f t="shared" si="20"/>
        <v>240.7</v>
      </c>
      <c r="Q87" s="241">
        <f t="shared" si="20"/>
        <v>205</v>
      </c>
      <c r="R87" s="241">
        <f t="shared" si="20"/>
        <v>245</v>
      </c>
      <c r="S87" s="241">
        <f t="shared" si="20"/>
        <v>258.5</v>
      </c>
      <c r="T87" s="241">
        <f t="shared" si="20"/>
        <v>260</v>
      </c>
      <c r="U87" s="241">
        <f t="shared" si="20"/>
        <v>260</v>
      </c>
      <c r="V87" s="241">
        <f t="shared" si="20"/>
        <v>291</v>
      </c>
      <c r="W87" s="241">
        <f t="shared" si="20"/>
        <v>317</v>
      </c>
      <c r="X87" s="241">
        <f t="shared" si="20"/>
        <v>324</v>
      </c>
      <c r="Y87" s="241">
        <f t="shared" si="20"/>
        <v>280</v>
      </c>
      <c r="Z87" s="241">
        <f t="shared" si="20"/>
        <v>190</v>
      </c>
      <c r="AA87" s="241">
        <f t="shared" si="20"/>
        <v>188</v>
      </c>
      <c r="AB87" s="241">
        <f t="shared" si="20"/>
        <v>212.6</v>
      </c>
      <c r="AC87" s="241">
        <f t="shared" si="20"/>
        <v>210.2</v>
      </c>
      <c r="AD87" s="241">
        <f t="shared" si="20"/>
        <v>245.3</v>
      </c>
      <c r="AE87" s="241">
        <f t="shared" si="20"/>
        <v>298</v>
      </c>
      <c r="AF87" s="241">
        <f t="shared" si="20"/>
        <v>332.8</v>
      </c>
      <c r="AG87" s="261"/>
      <c r="AH87" s="226">
        <f t="shared" si="13"/>
        <v>411</v>
      </c>
      <c r="AI87" s="227">
        <f t="shared" si="15"/>
        <v>188</v>
      </c>
      <c r="AK87" s="228"/>
    </row>
    <row r="88" spans="1:88" s="175" customFormat="1" ht="15.75" thickBot="1" x14ac:dyDescent="0.3">
      <c r="A88" s="254" t="s">
        <v>93</v>
      </c>
      <c r="B88" s="241">
        <f>B72-B87</f>
        <v>-247.2</v>
      </c>
      <c r="C88" s="241">
        <f t="shared" ref="C88:AF88" si="21">C72-C87</f>
        <v>-258</v>
      </c>
      <c r="D88" s="241">
        <f t="shared" si="21"/>
        <v>-283.3</v>
      </c>
      <c r="E88" s="241">
        <f t="shared" si="21"/>
        <v>-321</v>
      </c>
      <c r="F88" s="241">
        <f t="shared" si="21"/>
        <v>-337.4</v>
      </c>
      <c r="G88" s="241">
        <f t="shared" si="21"/>
        <v>-373</v>
      </c>
      <c r="H88" s="241">
        <f t="shared" si="21"/>
        <v>-398</v>
      </c>
      <c r="I88" s="241">
        <f t="shared" si="21"/>
        <v>-411</v>
      </c>
      <c r="J88" s="241">
        <f t="shared" si="21"/>
        <v>-380.1</v>
      </c>
      <c r="K88" s="241">
        <f t="shared" si="21"/>
        <v>-325</v>
      </c>
      <c r="L88" s="241">
        <f t="shared" si="21"/>
        <v>-287.60000000000002</v>
      </c>
      <c r="M88" s="241">
        <f t="shared" si="21"/>
        <v>-271.09999999999997</v>
      </c>
      <c r="N88" s="241">
        <f t="shared" si="21"/>
        <v>-258</v>
      </c>
      <c r="O88" s="241">
        <f t="shared" si="21"/>
        <v>-207.7</v>
      </c>
      <c r="P88" s="241">
        <f t="shared" si="21"/>
        <v>-198</v>
      </c>
      <c r="Q88" s="241">
        <f t="shared" si="21"/>
        <v>-148.4</v>
      </c>
      <c r="R88" s="241">
        <f t="shared" si="21"/>
        <v>-183.7</v>
      </c>
      <c r="S88" s="241">
        <f t="shared" si="21"/>
        <v>-205.2</v>
      </c>
      <c r="T88" s="241">
        <f t="shared" si="21"/>
        <v>-196</v>
      </c>
      <c r="U88" s="241">
        <f t="shared" si="21"/>
        <v>-204</v>
      </c>
      <c r="V88" s="241">
        <f t="shared" si="21"/>
        <v>-242</v>
      </c>
      <c r="W88" s="241">
        <f t="shared" si="21"/>
        <v>-249</v>
      </c>
      <c r="X88" s="241">
        <f t="shared" si="21"/>
        <v>-258</v>
      </c>
      <c r="Y88" s="241">
        <f t="shared" si="21"/>
        <v>-233</v>
      </c>
      <c r="Z88" s="241">
        <f t="shared" si="21"/>
        <v>-135.19999999999999</v>
      </c>
      <c r="AA88" s="241">
        <f t="shared" si="21"/>
        <v>-120</v>
      </c>
      <c r="AB88" s="241">
        <f t="shared" si="21"/>
        <v>-139.19999999999999</v>
      </c>
      <c r="AC88" s="241">
        <f t="shared" si="21"/>
        <v>-134.1</v>
      </c>
      <c r="AD88" s="241">
        <f t="shared" si="21"/>
        <v>-168</v>
      </c>
      <c r="AE88" s="241">
        <f t="shared" si="21"/>
        <v>-217.8</v>
      </c>
      <c r="AF88" s="241">
        <f t="shared" si="21"/>
        <v>-254.60000000000002</v>
      </c>
      <c r="AG88" s="261"/>
      <c r="AH88" s="226">
        <f t="shared" si="13"/>
        <v>-120</v>
      </c>
      <c r="AI88" s="227">
        <f t="shared" si="15"/>
        <v>-411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50.031999999999996</v>
      </c>
      <c r="C89" s="269">
        <v>49.932000000000002</v>
      </c>
      <c r="D89" s="269">
        <v>50.008000000000003</v>
      </c>
      <c r="E89" s="269">
        <v>49.994</v>
      </c>
      <c r="F89" s="269">
        <v>50</v>
      </c>
      <c r="G89" s="269">
        <v>49.793999999999997</v>
      </c>
      <c r="H89" s="269">
        <v>49.8</v>
      </c>
      <c r="I89" s="269">
        <v>49.683</v>
      </c>
      <c r="J89" s="269">
        <v>49.85</v>
      </c>
      <c r="K89" s="269">
        <v>49.869</v>
      </c>
      <c r="L89" s="269">
        <v>49.9</v>
      </c>
      <c r="M89" s="269">
        <v>49.99</v>
      </c>
      <c r="N89" s="269">
        <v>50.018000000000001</v>
      </c>
      <c r="O89" s="269">
        <v>50.06</v>
      </c>
      <c r="P89" s="269">
        <v>49.993000000000002</v>
      </c>
      <c r="Q89" s="269">
        <v>49.97</v>
      </c>
      <c r="R89" s="269">
        <v>50.000999999999998</v>
      </c>
      <c r="S89" s="269">
        <v>50.05</v>
      </c>
      <c r="T89" s="269">
        <v>50.05</v>
      </c>
      <c r="U89" s="269">
        <v>49.957000000000001</v>
      </c>
      <c r="V89" s="269">
        <v>49.991</v>
      </c>
      <c r="W89" s="269">
        <v>49.991</v>
      </c>
      <c r="X89" s="269">
        <v>49.994999999999997</v>
      </c>
      <c r="Y89" s="269">
        <v>49.978999999999999</v>
      </c>
      <c r="Z89" s="269">
        <v>49.732999999999997</v>
      </c>
      <c r="AA89" s="269">
        <v>49.732999999999997</v>
      </c>
      <c r="AB89" s="269">
        <v>49.997999999999998</v>
      </c>
      <c r="AC89" s="269">
        <v>49.863999999999997</v>
      </c>
      <c r="AD89" s="269">
        <v>50.002000000000002</v>
      </c>
      <c r="AE89" s="269">
        <v>50.01</v>
      </c>
      <c r="AF89" s="269">
        <v>49.987000000000002</v>
      </c>
      <c r="AG89" s="270"/>
      <c r="AH89" s="226">
        <f t="shared" si="13"/>
        <v>50.06</v>
      </c>
      <c r="AI89" s="227">
        <f t="shared" si="15"/>
        <v>49.683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122.8</v>
      </c>
      <c r="C90" s="245">
        <v>123.6</v>
      </c>
      <c r="D90" s="245">
        <v>124</v>
      </c>
      <c r="E90" s="245">
        <v>123</v>
      </c>
      <c r="F90" s="245">
        <v>125</v>
      </c>
      <c r="G90" s="245">
        <v>125</v>
      </c>
      <c r="H90" s="245">
        <v>124</v>
      </c>
      <c r="I90" s="245">
        <v>124</v>
      </c>
      <c r="J90" s="245">
        <v>123.5</v>
      </c>
      <c r="K90" s="245">
        <v>122.8</v>
      </c>
      <c r="L90" s="245">
        <v>122</v>
      </c>
      <c r="M90" s="245">
        <v>122.4</v>
      </c>
      <c r="N90" s="245">
        <v>122.2</v>
      </c>
      <c r="O90" s="245">
        <v>121.3</v>
      </c>
      <c r="P90" s="245">
        <v>122.1</v>
      </c>
      <c r="Q90" s="245">
        <v>123.2</v>
      </c>
      <c r="R90" s="245">
        <v>123.2</v>
      </c>
      <c r="S90" s="245">
        <v>121</v>
      </c>
      <c r="T90" s="245">
        <v>121</v>
      </c>
      <c r="U90" s="245">
        <v>121</v>
      </c>
      <c r="V90" s="245">
        <v>122</v>
      </c>
      <c r="W90" s="245">
        <v>122</v>
      </c>
      <c r="X90" s="245">
        <v>124</v>
      </c>
      <c r="Y90" s="245">
        <v>124</v>
      </c>
      <c r="Z90" s="245">
        <v>123</v>
      </c>
      <c r="AA90" s="245">
        <v>123</v>
      </c>
      <c r="AB90" s="245">
        <v>125.4</v>
      </c>
      <c r="AC90" s="245">
        <v>123.2</v>
      </c>
      <c r="AD90" s="245">
        <v>124.4</v>
      </c>
      <c r="AE90" s="245">
        <v>124.2</v>
      </c>
      <c r="AF90" s="245">
        <v>122.6</v>
      </c>
      <c r="AG90" s="272"/>
      <c r="AH90" s="226">
        <f t="shared" si="13"/>
        <v>125.4</v>
      </c>
      <c r="AI90" s="227">
        <f t="shared" si="15"/>
        <v>121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127.9</v>
      </c>
      <c r="C91" s="245">
        <v>128.5</v>
      </c>
      <c r="D91" s="245">
        <v>129</v>
      </c>
      <c r="E91" s="245">
        <v>128.69999999999999</v>
      </c>
      <c r="F91" s="245">
        <v>129</v>
      </c>
      <c r="G91" s="245">
        <v>129</v>
      </c>
      <c r="H91" s="245">
        <v>128.5</v>
      </c>
      <c r="I91" s="245">
        <v>128.5</v>
      </c>
      <c r="J91" s="245">
        <v>127</v>
      </c>
      <c r="K91" s="245">
        <v>127</v>
      </c>
      <c r="L91" s="245">
        <v>126.6</v>
      </c>
      <c r="M91" s="245">
        <v>126.3</v>
      </c>
      <c r="N91" s="245">
        <v>126.3</v>
      </c>
      <c r="O91" s="245">
        <v>125</v>
      </c>
      <c r="P91" s="245">
        <v>126.3</v>
      </c>
      <c r="Q91" s="245">
        <v>127.1</v>
      </c>
      <c r="R91" s="245">
        <v>127.1</v>
      </c>
      <c r="S91" s="245">
        <v>125.1</v>
      </c>
      <c r="T91" s="245">
        <v>125.1</v>
      </c>
      <c r="U91" s="245">
        <v>126</v>
      </c>
      <c r="V91" s="245">
        <v>127</v>
      </c>
      <c r="W91" s="245">
        <v>127</v>
      </c>
      <c r="X91" s="245">
        <v>128</v>
      </c>
      <c r="Y91" s="245">
        <v>128</v>
      </c>
      <c r="Z91" s="245">
        <v>127</v>
      </c>
      <c r="AA91" s="245">
        <v>127</v>
      </c>
      <c r="AB91" s="245">
        <v>129.6</v>
      </c>
      <c r="AC91" s="245">
        <v>127.5</v>
      </c>
      <c r="AD91" s="245">
        <v>128.9</v>
      </c>
      <c r="AE91" s="245">
        <v>128.80000000000001</v>
      </c>
      <c r="AF91" s="245">
        <v>127.6</v>
      </c>
      <c r="AG91" s="272"/>
      <c r="AH91" s="226">
        <f t="shared" si="13"/>
        <v>129.6</v>
      </c>
      <c r="AI91" s="227">
        <f t="shared" si="15"/>
        <v>125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128.30000000000001</v>
      </c>
      <c r="C92" s="245">
        <v>128.6</v>
      </c>
      <c r="D92" s="245">
        <v>130.1</v>
      </c>
      <c r="E92" s="245">
        <v>131</v>
      </c>
      <c r="F92" s="245">
        <v>130</v>
      </c>
      <c r="G92" s="245">
        <v>130</v>
      </c>
      <c r="H92" s="245">
        <v>131.69999999999999</v>
      </c>
      <c r="I92" s="245">
        <v>131.69999999999999</v>
      </c>
      <c r="J92" s="245">
        <v>128.69999999999999</v>
      </c>
      <c r="K92" s="245">
        <v>127</v>
      </c>
      <c r="L92" s="245">
        <v>126.7</v>
      </c>
      <c r="M92" s="245">
        <v>128.5</v>
      </c>
      <c r="N92" s="245">
        <v>127.1</v>
      </c>
      <c r="O92" s="245">
        <v>126.8</v>
      </c>
      <c r="P92" s="245">
        <v>126.6</v>
      </c>
      <c r="Q92" s="245">
        <v>127.9</v>
      </c>
      <c r="R92" s="245">
        <v>127.9</v>
      </c>
      <c r="S92" s="245">
        <v>125.6</v>
      </c>
      <c r="T92" s="245">
        <v>125.6</v>
      </c>
      <c r="U92" s="245">
        <v>129</v>
      </c>
      <c r="V92" s="245">
        <v>130</v>
      </c>
      <c r="W92" s="245">
        <v>130</v>
      </c>
      <c r="X92" s="245">
        <v>131</v>
      </c>
      <c r="Y92" s="245">
        <v>129</v>
      </c>
      <c r="Z92" s="245">
        <v>129</v>
      </c>
      <c r="AA92" s="245">
        <v>129</v>
      </c>
      <c r="AB92" s="245">
        <v>128.69999999999999</v>
      </c>
      <c r="AC92" s="245">
        <v>127.3</v>
      </c>
      <c r="AD92" s="245">
        <v>127.9</v>
      </c>
      <c r="AE92" s="245">
        <v>128.5</v>
      </c>
      <c r="AF92" s="245">
        <v>128.69999999999999</v>
      </c>
      <c r="AG92" s="272"/>
      <c r="AH92" s="226">
        <f t="shared" si="13"/>
        <v>131.69999999999999</v>
      </c>
      <c r="AI92" s="227">
        <f t="shared" si="15"/>
        <v>125.6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133.6</v>
      </c>
      <c r="C93" s="245">
        <v>134</v>
      </c>
      <c r="D93" s="245">
        <v>135.30000000000001</v>
      </c>
      <c r="E93" s="245">
        <v>136.6</v>
      </c>
      <c r="F93" s="245">
        <v>134</v>
      </c>
      <c r="G93" s="245">
        <v>134</v>
      </c>
      <c r="H93" s="245">
        <v>135</v>
      </c>
      <c r="I93" s="245">
        <v>135</v>
      </c>
      <c r="J93" s="245">
        <v>132.6</v>
      </c>
      <c r="K93" s="245">
        <v>130.9</v>
      </c>
      <c r="L93" s="245">
        <v>130.69999999999999</v>
      </c>
      <c r="M93" s="245">
        <v>131.4</v>
      </c>
      <c r="N93" s="245">
        <v>129.5</v>
      </c>
      <c r="O93" s="245">
        <v>129.19999999999999</v>
      </c>
      <c r="P93" s="245">
        <v>128.9</v>
      </c>
      <c r="Q93" s="245">
        <v>130</v>
      </c>
      <c r="R93" s="245">
        <v>130</v>
      </c>
      <c r="S93" s="245">
        <v>128.69999999999999</v>
      </c>
      <c r="T93" s="245">
        <v>128.69999999999999</v>
      </c>
      <c r="U93" s="245">
        <v>130</v>
      </c>
      <c r="V93" s="245">
        <v>132</v>
      </c>
      <c r="W93" s="245">
        <v>132</v>
      </c>
      <c r="X93" s="245">
        <v>132</v>
      </c>
      <c r="Y93" s="245">
        <v>131</v>
      </c>
      <c r="Z93" s="245">
        <v>130</v>
      </c>
      <c r="AA93" s="245">
        <v>130</v>
      </c>
      <c r="AB93" s="245">
        <v>130.4</v>
      </c>
      <c r="AC93" s="245">
        <v>129.5</v>
      </c>
      <c r="AD93" s="245">
        <v>130</v>
      </c>
      <c r="AE93" s="245">
        <v>131.19999999999999</v>
      </c>
      <c r="AF93" s="245">
        <v>131.30000000000001</v>
      </c>
      <c r="AG93" s="272"/>
      <c r="AH93" s="226">
        <f t="shared" si="13"/>
        <v>136.6</v>
      </c>
      <c r="AI93" s="227">
        <f t="shared" si="15"/>
        <v>128.69999999999999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131.1</v>
      </c>
      <c r="C94" s="274">
        <v>135.4</v>
      </c>
      <c r="D94" s="274">
        <v>134.1</v>
      </c>
      <c r="E94" s="274">
        <v>135</v>
      </c>
      <c r="F94" s="274">
        <v>135</v>
      </c>
      <c r="G94" s="274">
        <v>135</v>
      </c>
      <c r="H94" s="274">
        <v>132</v>
      </c>
      <c r="I94" s="274">
        <v>132</v>
      </c>
      <c r="J94" s="274">
        <v>133.69999999999999</v>
      </c>
      <c r="K94" s="274">
        <v>133</v>
      </c>
      <c r="L94" s="274">
        <v>133</v>
      </c>
      <c r="M94" s="274">
        <v>132.5</v>
      </c>
      <c r="N94" s="274">
        <v>132.19999999999999</v>
      </c>
      <c r="O94" s="274">
        <v>133.30000000000001</v>
      </c>
      <c r="P94" s="274">
        <v>129.19999999999999</v>
      </c>
      <c r="Q94" s="274">
        <v>134</v>
      </c>
      <c r="R94" s="274">
        <v>134</v>
      </c>
      <c r="S94" s="274">
        <v>131.19999999999999</v>
      </c>
      <c r="T94" s="274">
        <v>131.19999999999999</v>
      </c>
      <c r="U94" s="274">
        <v>132</v>
      </c>
      <c r="V94" s="274">
        <v>134</v>
      </c>
      <c r="W94" s="274">
        <v>134</v>
      </c>
      <c r="X94" s="274">
        <v>132</v>
      </c>
      <c r="Y94" s="274">
        <v>133</v>
      </c>
      <c r="Z94" s="274">
        <v>129</v>
      </c>
      <c r="AA94" s="274">
        <v>129</v>
      </c>
      <c r="AB94" s="274">
        <v>130.4</v>
      </c>
      <c r="AC94" s="274">
        <v>129.9</v>
      </c>
      <c r="AD94" s="274">
        <v>135.4</v>
      </c>
      <c r="AE94" s="274">
        <v>130.80000000000001</v>
      </c>
      <c r="AF94" s="274">
        <v>128.6</v>
      </c>
      <c r="AG94" s="275"/>
      <c r="AH94" s="226">
        <f t="shared" si="13"/>
        <v>135.4</v>
      </c>
      <c r="AI94" s="227">
        <f t="shared" si="15"/>
        <v>128.6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125.7</v>
      </c>
      <c r="C95" s="245">
        <v>132.6</v>
      </c>
      <c r="D95" s="245">
        <v>132.30000000000001</v>
      </c>
      <c r="E95" s="245">
        <v>132</v>
      </c>
      <c r="F95" s="245">
        <v>130</v>
      </c>
      <c r="G95" s="245">
        <v>130</v>
      </c>
      <c r="H95" s="245">
        <v>132</v>
      </c>
      <c r="I95" s="245">
        <v>132</v>
      </c>
      <c r="J95" s="245">
        <v>131.5</v>
      </c>
      <c r="K95" s="245">
        <v>133</v>
      </c>
      <c r="L95" s="245">
        <v>132.80000000000001</v>
      </c>
      <c r="M95" s="245">
        <v>130</v>
      </c>
      <c r="N95" s="245">
        <v>127.5</v>
      </c>
      <c r="O95" s="245">
        <v>129.9</v>
      </c>
      <c r="P95" s="245">
        <v>123.7</v>
      </c>
      <c r="Q95" s="245">
        <v>121.7</v>
      </c>
      <c r="R95" s="245">
        <v>121.7</v>
      </c>
      <c r="S95" s="245">
        <v>124.1</v>
      </c>
      <c r="T95" s="245">
        <v>124.1</v>
      </c>
      <c r="U95" s="245">
        <v>128</v>
      </c>
      <c r="V95" s="245">
        <v>132</v>
      </c>
      <c r="W95" s="245">
        <v>132</v>
      </c>
      <c r="X95" s="245">
        <v>131</v>
      </c>
      <c r="Y95" s="245">
        <v>132</v>
      </c>
      <c r="Z95" s="245">
        <v>125</v>
      </c>
      <c r="AA95" s="245">
        <v>125</v>
      </c>
      <c r="AB95" s="245">
        <v>129.1</v>
      </c>
      <c r="AC95" s="245">
        <v>130.9</v>
      </c>
      <c r="AD95" s="245">
        <v>120.7</v>
      </c>
      <c r="AE95" s="245">
        <v>127.3</v>
      </c>
      <c r="AF95" s="245">
        <v>124.3</v>
      </c>
      <c r="AG95" s="272"/>
      <c r="AH95" s="226">
        <f t="shared" si="13"/>
        <v>133</v>
      </c>
      <c r="AI95" s="227">
        <f t="shared" si="15"/>
        <v>120.7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64.599999999999994</v>
      </c>
      <c r="C96" s="276">
        <v>64.900000000000006</v>
      </c>
      <c r="D96" s="276">
        <v>65</v>
      </c>
      <c r="E96" s="276">
        <v>64.900000000000006</v>
      </c>
      <c r="F96" s="276">
        <v>65.5</v>
      </c>
      <c r="G96" s="276">
        <v>65.5</v>
      </c>
      <c r="H96" s="276">
        <v>65</v>
      </c>
      <c r="I96" s="276">
        <v>65</v>
      </c>
      <c r="J96" s="276">
        <v>64</v>
      </c>
      <c r="K96" s="276">
        <v>64</v>
      </c>
      <c r="L96" s="276">
        <v>63.8</v>
      </c>
      <c r="M96" s="276">
        <v>63.8</v>
      </c>
      <c r="N96" s="276">
        <v>63.7</v>
      </c>
      <c r="O96" s="276">
        <v>62.8</v>
      </c>
      <c r="P96" s="276">
        <v>63.6</v>
      </c>
      <c r="Q96" s="276">
        <v>63.9</v>
      </c>
      <c r="R96" s="276">
        <v>63.9</v>
      </c>
      <c r="S96" s="276">
        <v>62.6</v>
      </c>
      <c r="T96" s="276">
        <v>62.6</v>
      </c>
      <c r="U96" s="276">
        <v>63</v>
      </c>
      <c r="V96" s="276">
        <v>64</v>
      </c>
      <c r="W96" s="276">
        <v>64</v>
      </c>
      <c r="X96" s="276">
        <v>65</v>
      </c>
      <c r="Y96" s="276">
        <v>64.400000000000006</v>
      </c>
      <c r="Z96" s="276">
        <v>64.2</v>
      </c>
      <c r="AA96" s="276">
        <v>64.2</v>
      </c>
      <c r="AB96" s="276">
        <v>65.3</v>
      </c>
      <c r="AC96" s="276">
        <v>64.400000000000006</v>
      </c>
      <c r="AD96" s="276">
        <v>65</v>
      </c>
      <c r="AE96" s="276">
        <v>65</v>
      </c>
      <c r="AF96" s="276">
        <v>64.400000000000006</v>
      </c>
      <c r="AG96" s="277"/>
      <c r="AH96" s="226">
        <f t="shared" si="13"/>
        <v>65.5</v>
      </c>
      <c r="AI96" s="227">
        <f t="shared" si="15"/>
        <v>62.6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59.899999999999977</v>
      </c>
      <c r="C98" s="280">
        <f t="shared" si="22"/>
        <v>50.239999999999988</v>
      </c>
      <c r="D98" s="280">
        <f t="shared" si="22"/>
        <v>22.63999999999999</v>
      </c>
      <c r="E98" s="280">
        <f t="shared" si="22"/>
        <v>30.63999999999999</v>
      </c>
      <c r="F98" s="280">
        <f t="shared" si="22"/>
        <v>38.539999999999964</v>
      </c>
      <c r="G98" s="280">
        <f t="shared" si="22"/>
        <v>58.039999999999971</v>
      </c>
      <c r="H98" s="280">
        <f t="shared" si="22"/>
        <v>70.839999999999961</v>
      </c>
      <c r="I98" s="280">
        <f t="shared" si="22"/>
        <v>95.539999999999964</v>
      </c>
      <c r="J98" s="280">
        <f t="shared" si="22"/>
        <v>144.33999999999997</v>
      </c>
      <c r="K98" s="280">
        <f t="shared" si="22"/>
        <v>164.93999999999994</v>
      </c>
      <c r="L98" s="280">
        <f t="shared" si="22"/>
        <v>186.23999999999998</v>
      </c>
      <c r="M98" s="280">
        <f t="shared" si="22"/>
        <v>200.04</v>
      </c>
      <c r="N98" s="280">
        <f t="shared" si="22"/>
        <v>200.53999999999996</v>
      </c>
      <c r="O98" s="280">
        <f t="shared" si="22"/>
        <v>199.23999999999995</v>
      </c>
      <c r="P98" s="280">
        <f t="shared" si="22"/>
        <v>205.94</v>
      </c>
      <c r="Q98" s="280">
        <f t="shared" si="22"/>
        <v>198.89999999999998</v>
      </c>
      <c r="R98" s="280">
        <f t="shared" si="22"/>
        <v>222.29999999999995</v>
      </c>
      <c r="S98" s="280">
        <f t="shared" si="22"/>
        <v>194.1</v>
      </c>
      <c r="T98" s="280">
        <f t="shared" si="22"/>
        <v>228.7</v>
      </c>
      <c r="U98" s="280">
        <f t="shared" si="22"/>
        <v>230.7</v>
      </c>
      <c r="V98" s="280">
        <f t="shared" si="22"/>
        <v>225.7</v>
      </c>
      <c r="W98" s="280">
        <f t="shared" si="22"/>
        <v>222.7</v>
      </c>
      <c r="X98" s="280">
        <f t="shared" si="22"/>
        <v>212.7</v>
      </c>
      <c r="Y98" s="280">
        <f t="shared" si="22"/>
        <v>234.7</v>
      </c>
      <c r="Z98" s="280">
        <f t="shared" si="22"/>
        <v>300.7</v>
      </c>
      <c r="AA98" s="280">
        <f t="shared" si="22"/>
        <v>300.7</v>
      </c>
      <c r="AB98" s="280">
        <f t="shared" si="22"/>
        <v>216.2</v>
      </c>
      <c r="AC98" s="280">
        <f t="shared" si="22"/>
        <v>198.3</v>
      </c>
      <c r="AD98" s="280">
        <f t="shared" si="22"/>
        <v>177.60000000000002</v>
      </c>
      <c r="AE98" s="280">
        <f t="shared" si="22"/>
        <v>85.300000000000011</v>
      </c>
      <c r="AF98" s="280">
        <f t="shared" si="22"/>
        <v>61.300000000000011</v>
      </c>
      <c r="AG98" s="281"/>
      <c r="AH98" s="226">
        <f>MAX(C98:AF98)</f>
        <v>300.7</v>
      </c>
      <c r="AI98" s="227">
        <f>MIN(C98:AF98)</f>
        <v>22.63999999999999</v>
      </c>
    </row>
    <row r="99" spans="1:37" x14ac:dyDescent="0.25">
      <c r="A99" s="268" t="s">
        <v>103</v>
      </c>
      <c r="B99" s="282">
        <v>13.5</v>
      </c>
      <c r="C99" s="282">
        <v>8.5</v>
      </c>
      <c r="D99" s="282">
        <v>10.5</v>
      </c>
      <c r="E99" s="282">
        <v>9</v>
      </c>
      <c r="F99" s="282">
        <v>10.6</v>
      </c>
      <c r="G99" s="282">
        <v>12</v>
      </c>
      <c r="H99" s="282">
        <v>17.7</v>
      </c>
      <c r="I99" s="282">
        <v>18</v>
      </c>
      <c r="J99" s="282">
        <v>23.5</v>
      </c>
      <c r="K99" s="282">
        <v>28.2</v>
      </c>
      <c r="L99" s="282">
        <v>28.6</v>
      </c>
      <c r="M99" s="282">
        <v>28.3</v>
      </c>
      <c r="N99" s="282">
        <v>22.8</v>
      </c>
      <c r="O99" s="282">
        <v>34.299999999999997</v>
      </c>
      <c r="P99" s="282">
        <v>20.3</v>
      </c>
      <c r="Q99" s="282">
        <v>6.5</v>
      </c>
      <c r="R99" s="282">
        <v>27.1</v>
      </c>
      <c r="S99" s="282">
        <v>26.8</v>
      </c>
      <c r="T99" s="282">
        <v>50</v>
      </c>
      <c r="U99" s="282">
        <v>71</v>
      </c>
      <c r="V99" s="282">
        <v>81</v>
      </c>
      <c r="W99" s="282">
        <f>45+30</f>
        <v>75</v>
      </c>
      <c r="X99" s="282">
        <f>43+32</f>
        <v>75</v>
      </c>
      <c r="Y99" s="282">
        <f>49+33</f>
        <v>82</v>
      </c>
      <c r="Z99" s="282">
        <v>60</v>
      </c>
      <c r="AA99" s="282">
        <v>60</v>
      </c>
      <c r="AB99" s="282">
        <v>26.8</v>
      </c>
      <c r="AC99" s="282">
        <v>24.7</v>
      </c>
      <c r="AD99" s="282">
        <v>22.4</v>
      </c>
      <c r="AE99" s="282">
        <v>24.4</v>
      </c>
      <c r="AF99" s="282">
        <v>20.3</v>
      </c>
      <c r="AG99" s="283">
        <v>75</v>
      </c>
      <c r="AH99" s="226">
        <f t="shared" ref="AH99:AH106" si="23">IF(ABS(MAX(C99:AF99))&gt;ABS(MIN(C99:AF99)),MAX(C99:AF99),MIN(C99:AF99))</f>
        <v>82</v>
      </c>
      <c r="AI99" s="284">
        <f t="shared" ref="AI99:AI106" si="24">INDEX($C$9:$AF$9,1,MATCH(AH99,C99:AF99,0))</f>
        <v>0.77083333333333337</v>
      </c>
    </row>
    <row r="100" spans="1:37" x14ac:dyDescent="0.25">
      <c r="A100" s="271" t="s">
        <v>104</v>
      </c>
      <c r="B100" s="285">
        <f>-69.3-74.5</f>
        <v>-143.80000000000001</v>
      </c>
      <c r="C100" s="285">
        <f>-69-74</f>
        <v>-143</v>
      </c>
      <c r="D100" s="285">
        <f>-72-78</f>
        <v>-150</v>
      </c>
      <c r="E100" s="285">
        <v>-151</v>
      </c>
      <c r="F100" s="285">
        <v>-154</v>
      </c>
      <c r="G100" s="285">
        <v>-140</v>
      </c>
      <c r="H100" s="285">
        <v>-141</v>
      </c>
      <c r="I100" s="285">
        <v>-115</v>
      </c>
      <c r="J100" s="285">
        <v>-109</v>
      </c>
      <c r="K100" s="285">
        <v>-108</v>
      </c>
      <c r="L100" s="285">
        <v>-91</v>
      </c>
      <c r="M100" s="285">
        <v>-94</v>
      </c>
      <c r="N100" s="285">
        <v>-93</v>
      </c>
      <c r="O100" s="285">
        <v>-100</v>
      </c>
      <c r="P100" s="285">
        <v>-105</v>
      </c>
      <c r="Q100" s="285">
        <v>-116</v>
      </c>
      <c r="R100" s="285">
        <v>-96</v>
      </c>
      <c r="S100" s="285">
        <v>-105</v>
      </c>
      <c r="T100" s="285">
        <v>-93</v>
      </c>
      <c r="U100" s="285">
        <v>-101</v>
      </c>
      <c r="V100" s="285">
        <v>-105</v>
      </c>
      <c r="W100" s="285">
        <v>-62</v>
      </c>
      <c r="X100" s="285">
        <v>-76</v>
      </c>
      <c r="Y100" s="285">
        <v>-62</v>
      </c>
      <c r="Z100" s="285">
        <v>-70</v>
      </c>
      <c r="AA100" s="285">
        <v>-70</v>
      </c>
      <c r="AB100" s="285">
        <v>-42.3</v>
      </c>
      <c r="AC100" s="285">
        <v>-44.4</v>
      </c>
      <c r="AD100" s="285">
        <v>-60.5</v>
      </c>
      <c r="AE100" s="285">
        <v>-135.80000000000001</v>
      </c>
      <c r="AF100" s="285">
        <v>-144.80000000000001</v>
      </c>
      <c r="AG100" s="283">
        <v>240</v>
      </c>
      <c r="AH100" s="226">
        <f t="shared" si="23"/>
        <v>-154</v>
      </c>
      <c r="AI100" s="284">
        <f t="shared" si="24"/>
        <v>0.16666666666666699</v>
      </c>
    </row>
    <row r="101" spans="1:37" x14ac:dyDescent="0.25">
      <c r="A101" s="271" t="s">
        <v>105</v>
      </c>
      <c r="B101" s="285">
        <v>-1.5</v>
      </c>
      <c r="C101" s="285">
        <v>-2.9</v>
      </c>
      <c r="D101" s="285">
        <v>-5.5</v>
      </c>
      <c r="E101" s="285">
        <v>-5</v>
      </c>
      <c r="F101" s="285">
        <v>-7</v>
      </c>
      <c r="G101" s="285">
        <v>-2.9</v>
      </c>
      <c r="H101" s="285">
        <v>0.2</v>
      </c>
      <c r="I101" s="285">
        <v>3.6</v>
      </c>
      <c r="J101" s="285">
        <v>5.4</v>
      </c>
      <c r="K101" s="285">
        <v>7</v>
      </c>
      <c r="L101" s="285">
        <v>8.8000000000000007</v>
      </c>
      <c r="M101" s="285">
        <v>8.6</v>
      </c>
      <c r="N101" s="285">
        <v>8</v>
      </c>
      <c r="O101" s="285">
        <v>8.6999999999999993</v>
      </c>
      <c r="P101" s="285">
        <v>28.4</v>
      </c>
      <c r="Q101" s="285">
        <v>41.4</v>
      </c>
      <c r="R101" s="285">
        <v>28.2</v>
      </c>
      <c r="S101" s="285">
        <v>17.2</v>
      </c>
      <c r="T101" s="285">
        <v>24</v>
      </c>
      <c r="U101" s="285">
        <v>6</v>
      </c>
      <c r="V101" s="285">
        <v>8</v>
      </c>
      <c r="W101" s="285">
        <v>9</v>
      </c>
      <c r="X101" s="285">
        <v>13</v>
      </c>
      <c r="Y101" s="285">
        <v>14</v>
      </c>
      <c r="Z101" s="285">
        <v>31</v>
      </c>
      <c r="AA101" s="285">
        <v>31</v>
      </c>
      <c r="AB101" s="285">
        <v>26.7</v>
      </c>
      <c r="AC101" s="285">
        <v>20.5</v>
      </c>
      <c r="AD101" s="285">
        <v>17.899999999999999</v>
      </c>
      <c r="AE101" s="285">
        <v>-1.1000000000000001</v>
      </c>
      <c r="AF101" s="285">
        <v>-2</v>
      </c>
      <c r="AG101" s="283">
        <v>60</v>
      </c>
      <c r="AH101" s="226">
        <f t="shared" si="23"/>
        <v>41.4</v>
      </c>
      <c r="AI101" s="284">
        <f t="shared" si="24"/>
        <v>0.5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25.5</v>
      </c>
      <c r="K102" s="287">
        <v>38.799999999999997</v>
      </c>
      <c r="L102" s="287">
        <v>40.9</v>
      </c>
      <c r="M102" s="287">
        <v>53</v>
      </c>
      <c r="N102" s="287">
        <v>56.3</v>
      </c>
      <c r="O102" s="287">
        <v>49.8</v>
      </c>
      <c r="P102" s="287">
        <v>55</v>
      </c>
      <c r="Q102" s="287">
        <v>60.7</v>
      </c>
      <c r="R102" s="287">
        <v>65.8</v>
      </c>
      <c r="S102" s="287">
        <v>54.4</v>
      </c>
      <c r="T102" s="287">
        <v>47</v>
      </c>
      <c r="U102" s="287">
        <v>54</v>
      </c>
      <c r="V102" s="287">
        <v>41</v>
      </c>
      <c r="W102" s="287">
        <v>0</v>
      </c>
      <c r="X102" s="287">
        <v>0</v>
      </c>
      <c r="Y102" s="287">
        <v>0</v>
      </c>
      <c r="Z102" s="287">
        <v>79</v>
      </c>
      <c r="AA102" s="287">
        <v>79</v>
      </c>
      <c r="AB102" s="287">
        <v>7.8</v>
      </c>
      <c r="AC102" s="287">
        <v>0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79</v>
      </c>
      <c r="AI102" s="284">
        <f t="shared" si="24"/>
        <v>0.79166666666666663</v>
      </c>
    </row>
    <row r="103" spans="1:37" x14ac:dyDescent="0.25">
      <c r="A103" s="286" t="s">
        <v>107</v>
      </c>
      <c r="B103" s="287">
        <v>35</v>
      </c>
      <c r="C103" s="287">
        <v>34</v>
      </c>
      <c r="D103" s="287">
        <v>29.2</v>
      </c>
      <c r="E103" s="287">
        <v>35.5</v>
      </c>
      <c r="F103" s="287">
        <v>20</v>
      </c>
      <c r="G103" s="287">
        <v>29.7</v>
      </c>
      <c r="H103" s="287">
        <v>24.2</v>
      </c>
      <c r="I103" s="287">
        <v>36</v>
      </c>
      <c r="J103" s="287">
        <v>51.2</v>
      </c>
      <c r="K103" s="287">
        <v>66.8</v>
      </c>
      <c r="L103" s="287">
        <v>38.6</v>
      </c>
      <c r="M103" s="287">
        <v>53.2</v>
      </c>
      <c r="N103" s="287">
        <v>57.4</v>
      </c>
      <c r="O103" s="287">
        <v>52.1</v>
      </c>
      <c r="P103" s="287">
        <v>55.2</v>
      </c>
      <c r="Q103" s="287">
        <v>62.3</v>
      </c>
      <c r="R103" s="287">
        <v>66.7</v>
      </c>
      <c r="S103" s="287">
        <v>59.3</v>
      </c>
      <c r="T103" s="287">
        <v>53</v>
      </c>
      <c r="U103" s="287">
        <v>63</v>
      </c>
      <c r="V103" s="287">
        <v>48</v>
      </c>
      <c r="W103" s="287">
        <v>53</v>
      </c>
      <c r="X103" s="287">
        <v>56</v>
      </c>
      <c r="Y103" s="287">
        <v>72</v>
      </c>
      <c r="Z103" s="287">
        <v>73</v>
      </c>
      <c r="AA103" s="287">
        <v>73</v>
      </c>
      <c r="AB103" s="287">
        <v>82.2</v>
      </c>
      <c r="AC103" s="287">
        <v>89.5</v>
      </c>
      <c r="AD103" s="287">
        <v>79.599999999999994</v>
      </c>
      <c r="AE103" s="287">
        <v>40.5</v>
      </c>
      <c r="AF103" s="287">
        <v>30.9</v>
      </c>
      <c r="AG103" s="288"/>
      <c r="AH103" s="226">
        <f t="shared" si="23"/>
        <v>89.5</v>
      </c>
      <c r="AI103" s="284">
        <f t="shared" si="24"/>
        <v>0.85416666666666663</v>
      </c>
    </row>
    <row r="104" spans="1:37" x14ac:dyDescent="0.25">
      <c r="A104" s="286" t="s">
        <v>108</v>
      </c>
      <c r="B104" s="287">
        <v>55</v>
      </c>
      <c r="C104" s="287">
        <v>44</v>
      </c>
      <c r="D104" s="287">
        <v>39</v>
      </c>
      <c r="E104" s="287">
        <v>63</v>
      </c>
      <c r="F104" s="287">
        <v>58</v>
      </c>
      <c r="G104" s="287">
        <v>56.7</v>
      </c>
      <c r="H104" s="287">
        <v>46</v>
      </c>
      <c r="I104" s="287">
        <v>38.799999999999997</v>
      </c>
      <c r="J104" s="287">
        <v>29</v>
      </c>
      <c r="K104" s="287">
        <v>4.3</v>
      </c>
      <c r="L104" s="287">
        <v>1.7</v>
      </c>
      <c r="M104" s="287">
        <v>7.8</v>
      </c>
      <c r="N104" s="287">
        <v>21.4</v>
      </c>
      <c r="O104" s="287">
        <v>-17.7</v>
      </c>
      <c r="P104" s="287">
        <v>37</v>
      </c>
      <c r="Q104" s="287">
        <v>62.2</v>
      </c>
      <c r="R104" s="287">
        <v>8.4</v>
      </c>
      <c r="S104" s="287">
        <v>19</v>
      </c>
      <c r="T104" s="287">
        <v>38</v>
      </c>
      <c r="U104" s="287">
        <v>11</v>
      </c>
      <c r="V104" s="287">
        <v>-6</v>
      </c>
      <c r="W104" s="287">
        <v>9</v>
      </c>
      <c r="X104" s="287">
        <v>16</v>
      </c>
      <c r="Y104" s="287">
        <v>3</v>
      </c>
      <c r="Z104" s="287">
        <v>33</v>
      </c>
      <c r="AA104" s="287">
        <v>33</v>
      </c>
      <c r="AB104" s="287">
        <v>31</v>
      </c>
      <c r="AC104" s="287">
        <v>32</v>
      </c>
      <c r="AD104" s="287">
        <v>45.6</v>
      </c>
      <c r="AE104" s="287">
        <v>72.5</v>
      </c>
      <c r="AF104" s="287">
        <v>24.9</v>
      </c>
      <c r="AG104" s="289"/>
      <c r="AH104" s="226">
        <f t="shared" si="23"/>
        <v>72.5</v>
      </c>
      <c r="AI104" s="284">
        <f t="shared" si="24"/>
        <v>0.91666666666666696</v>
      </c>
    </row>
    <row r="105" spans="1:37" x14ac:dyDescent="0.25">
      <c r="A105" s="290" t="s">
        <v>109</v>
      </c>
      <c r="B105" s="274">
        <v>93.2</v>
      </c>
      <c r="C105" s="274">
        <v>97</v>
      </c>
      <c r="D105" s="274">
        <v>99</v>
      </c>
      <c r="E105" s="274">
        <v>101.7</v>
      </c>
      <c r="F105" s="274">
        <v>87.8</v>
      </c>
      <c r="G105" s="274">
        <v>93.8</v>
      </c>
      <c r="H105" s="274">
        <v>112</v>
      </c>
      <c r="I105" s="274">
        <v>104.9</v>
      </c>
      <c r="J105" s="274">
        <v>100.6</v>
      </c>
      <c r="K105" s="274">
        <v>94.9</v>
      </c>
      <c r="L105" s="274">
        <v>103.6</v>
      </c>
      <c r="M105" s="274">
        <v>101.2</v>
      </c>
      <c r="N105" s="274">
        <v>99.7</v>
      </c>
      <c r="O105" s="274">
        <v>70.900000000000006</v>
      </c>
      <c r="P105" s="274">
        <v>86.5</v>
      </c>
      <c r="Q105" s="274">
        <v>68.5</v>
      </c>
      <c r="R105" s="274">
        <v>98.4</v>
      </c>
      <c r="S105" s="274">
        <v>98.7</v>
      </c>
      <c r="T105" s="274">
        <v>99</v>
      </c>
      <c r="U105" s="274">
        <v>80</v>
      </c>
      <c r="V105" s="274">
        <v>82</v>
      </c>
      <c r="W105" s="274">
        <v>81</v>
      </c>
      <c r="X105" s="274">
        <v>94</v>
      </c>
      <c r="Y105" s="274">
        <v>94</v>
      </c>
      <c r="Z105" s="274">
        <v>82</v>
      </c>
      <c r="AA105" s="274">
        <v>82</v>
      </c>
      <c r="AB105" s="274">
        <v>86.4</v>
      </c>
      <c r="AC105" s="274">
        <v>88.2</v>
      </c>
      <c r="AD105" s="274">
        <v>89.1</v>
      </c>
      <c r="AE105" s="274">
        <v>96.3</v>
      </c>
      <c r="AF105" s="274">
        <v>96.9</v>
      </c>
      <c r="AG105" s="289"/>
      <c r="AH105" s="226">
        <f t="shared" si="23"/>
        <v>112</v>
      </c>
      <c r="AI105" s="284">
        <f t="shared" si="24"/>
        <v>0.22916666666666666</v>
      </c>
    </row>
    <row r="106" spans="1:37" ht="15.75" thickBot="1" x14ac:dyDescent="0.3">
      <c r="A106" s="290" t="s">
        <v>110</v>
      </c>
      <c r="B106" s="274">
        <v>89</v>
      </c>
      <c r="C106" s="274">
        <v>90</v>
      </c>
      <c r="D106" s="274">
        <v>98</v>
      </c>
      <c r="E106" s="274">
        <v>97</v>
      </c>
      <c r="F106" s="274">
        <v>102</v>
      </c>
      <c r="G106" s="274">
        <v>92</v>
      </c>
      <c r="H106" s="274">
        <v>87</v>
      </c>
      <c r="I106" s="274">
        <v>70.599999999999994</v>
      </c>
      <c r="J106" s="274">
        <v>72.599999999999994</v>
      </c>
      <c r="K106" s="274">
        <v>73</v>
      </c>
      <c r="L106" s="274">
        <v>60</v>
      </c>
      <c r="M106" s="274">
        <v>61.9</v>
      </c>
      <c r="N106" s="274">
        <v>59</v>
      </c>
      <c r="O106" s="274">
        <v>70</v>
      </c>
      <c r="P106" s="274">
        <v>63.1</v>
      </c>
      <c r="Q106" s="274">
        <v>65</v>
      </c>
      <c r="R106" s="274">
        <v>59.5</v>
      </c>
      <c r="S106" s="274">
        <v>66.3</v>
      </c>
      <c r="T106" s="274">
        <v>68</v>
      </c>
      <c r="U106" s="274">
        <v>64</v>
      </c>
      <c r="V106" s="274">
        <v>67</v>
      </c>
      <c r="W106" s="274">
        <v>51</v>
      </c>
      <c r="X106" s="274">
        <v>50</v>
      </c>
      <c r="Y106" s="274">
        <v>40</v>
      </c>
      <c r="Z106" s="274">
        <v>45</v>
      </c>
      <c r="AA106" s="274">
        <v>31</v>
      </c>
      <c r="AB106" s="274">
        <v>34.9</v>
      </c>
      <c r="AC106" s="274">
        <v>33.4</v>
      </c>
      <c r="AD106" s="274">
        <v>37.9</v>
      </c>
      <c r="AE106" s="274">
        <v>70.2</v>
      </c>
      <c r="AF106" s="274">
        <v>94.5</v>
      </c>
      <c r="AG106" s="289"/>
      <c r="AH106" s="226">
        <f t="shared" si="23"/>
        <v>102</v>
      </c>
      <c r="AI106" s="284">
        <f t="shared" si="24"/>
        <v>0.16666666666666699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1866.04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10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2079/02/10)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2079/02/10)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1870.9399999999998</v>
      </c>
      <c r="U235" s="343">
        <f t="shared" si="31"/>
        <v>1859.1399999999999</v>
      </c>
      <c r="V235" s="343">
        <f t="shared" si="31"/>
        <v>1830.14</v>
      </c>
      <c r="W235" s="343">
        <f t="shared" si="31"/>
        <v>1818.04</v>
      </c>
      <c r="X235" s="343">
        <f t="shared" si="31"/>
        <v>1803.2399999999998</v>
      </c>
      <c r="Y235" s="343">
        <f t="shared" si="31"/>
        <v>1804.6399999999999</v>
      </c>
      <c r="Z235" s="343">
        <f t="shared" si="31"/>
        <v>1803.6399999999999</v>
      </c>
      <c r="AA235" s="343">
        <f t="shared" si="31"/>
        <v>1799.6399999999999</v>
      </c>
      <c r="AB235" s="343">
        <f t="shared" si="31"/>
        <v>1825.54</v>
      </c>
      <c r="AC235" s="343">
        <f t="shared" si="31"/>
        <v>1851.6399999999999</v>
      </c>
      <c r="AD235" s="343">
        <f t="shared" si="31"/>
        <v>1855.04</v>
      </c>
      <c r="AE235" s="343">
        <f t="shared" si="31"/>
        <v>1862.0399999999997</v>
      </c>
      <c r="AF235" s="343">
        <f t="shared" si="31"/>
        <v>1866.04</v>
      </c>
      <c r="AG235" s="343">
        <f t="shared" si="31"/>
        <v>1865.24</v>
      </c>
      <c r="AH235" s="343">
        <f t="shared" si="31"/>
        <v>1830.1399999999999</v>
      </c>
      <c r="AI235" s="343">
        <f t="shared" si="31"/>
        <v>1898.5399999999997</v>
      </c>
      <c r="AJ235" s="343">
        <f t="shared" si="31"/>
        <v>1908.74</v>
      </c>
      <c r="AK235" s="343">
        <f t="shared" si="31"/>
        <v>1913.5400000000002</v>
      </c>
      <c r="AL235" s="343">
        <f t="shared" si="31"/>
        <v>1944.44</v>
      </c>
      <c r="AM235" s="343">
        <f t="shared" si="31"/>
        <v>1889.44</v>
      </c>
      <c r="AN235" s="343">
        <f t="shared" si="31"/>
        <v>1882.44</v>
      </c>
      <c r="AO235" s="343">
        <f t="shared" si="31"/>
        <v>1898.44</v>
      </c>
      <c r="AP235" s="343">
        <f t="shared" si="31"/>
        <v>1882.7400000000002</v>
      </c>
      <c r="AQ235" s="343">
        <f t="shared" si="31"/>
        <v>1877.2400000000002</v>
      </c>
      <c r="AR235" s="343">
        <f t="shared" si="31"/>
        <v>1928.5400000000002</v>
      </c>
      <c r="AS235" s="343">
        <f t="shared" si="31"/>
        <v>1943.04</v>
      </c>
      <c r="AT235" s="343">
        <f t="shared" si="31"/>
        <v>1959.7400000000002</v>
      </c>
      <c r="AU235" s="343">
        <f t="shared" si="31"/>
        <v>1924.94</v>
      </c>
      <c r="AV235" s="343">
        <f t="shared" si="31"/>
        <v>1932.0400000000002</v>
      </c>
      <c r="AW235" s="343">
        <f t="shared" si="31"/>
        <v>1891.0400000000002</v>
      </c>
      <c r="AX235" s="343">
        <f t="shared" si="31"/>
        <v>1877.3400000000001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B11:AF11">
    <cfRule type="expression" dxfId="5983" priority="233">
      <formula>B$9&gt;=20/24</formula>
    </cfRule>
    <cfRule type="expression" dxfId="5982" priority="234">
      <formula>AND(B$9&gt;=14/24,B$9&lt;20/24)</formula>
    </cfRule>
    <cfRule type="expression" dxfId="5981" priority="235">
      <formula>AND(B$9&gt;=8/24,B$9&lt;14/24)</formula>
    </cfRule>
    <cfRule type="expression" dxfId="5980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979" priority="228">
      <formula>S$9&gt;=20/24</formula>
    </cfRule>
    <cfRule type="expression" dxfId="5978" priority="229">
      <formula>AND(S$9&gt;=14/24,S$9&lt;20/24)</formula>
    </cfRule>
    <cfRule type="expression" dxfId="5977" priority="230">
      <formula>AND(S$9&gt;=8/24,S$9&lt;14/24)</formula>
    </cfRule>
    <cfRule type="expression" dxfId="5976" priority="231">
      <formula>S$9&lt;8/24</formula>
    </cfRule>
  </conditionalFormatting>
  <conditionalFormatting sqref="AG55 B12:R16 S37:AF37 S11:AF16 B35:AF35">
    <cfRule type="expression" dxfId="5975" priority="227">
      <formula>B11&gt;$AG11</formula>
    </cfRule>
  </conditionalFormatting>
  <conditionalFormatting sqref="A89:A102 A11:A14 A49:A76 A85:A87 A191:A221 A16:A30 A36:A47 A107:A178 A32:A33 A81:A83 A78:A79">
    <cfRule type="expression" dxfId="5974" priority="226">
      <formula>$AH11=0</formula>
    </cfRule>
  </conditionalFormatting>
  <conditionalFormatting sqref="A103">
    <cfRule type="expression" dxfId="5973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972" priority="223">
      <formula>$AH35=0</formula>
    </cfRule>
  </conditionalFormatting>
  <conditionalFormatting sqref="A88">
    <cfRule type="expression" dxfId="5971" priority="222">
      <formula>$AH88=0</formula>
    </cfRule>
  </conditionalFormatting>
  <conditionalFormatting sqref="A15">
    <cfRule type="expression" dxfId="5970" priority="221">
      <formula>$AH15=0</formula>
    </cfRule>
  </conditionalFormatting>
  <conditionalFormatting sqref="A185:A190">
    <cfRule type="expression" dxfId="5969" priority="220">
      <formula>$AH185=0</formula>
    </cfRule>
  </conditionalFormatting>
  <conditionalFormatting sqref="A179:A184">
    <cfRule type="expression" dxfId="5968" priority="219">
      <formula>$AH179=0</formula>
    </cfRule>
  </conditionalFormatting>
  <conditionalFormatting sqref="A48">
    <cfRule type="expression" dxfId="5967" priority="218">
      <formula>$AH48=0</formula>
    </cfRule>
  </conditionalFormatting>
  <conditionalFormatting sqref="A84">
    <cfRule type="expression" dxfId="5966" priority="217">
      <formula>$AH84=0</formula>
    </cfRule>
  </conditionalFormatting>
  <conditionalFormatting sqref="C89:AF89">
    <cfRule type="expression" dxfId="5965" priority="213">
      <formula>C$9&gt;=20/24</formula>
    </cfRule>
    <cfRule type="expression" dxfId="5964" priority="214">
      <formula>AND(C$9&gt;=14/24,C$9&lt;20/24)</formula>
    </cfRule>
    <cfRule type="expression" dxfId="5963" priority="215">
      <formula>AND(C$9&gt;=8/24,C$9&lt;14/24)</formula>
    </cfRule>
    <cfRule type="expression" dxfId="5962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61" priority="239">
      <formula>C$9&gt;=20/24</formula>
    </cfRule>
    <cfRule type="expression" dxfId="5960" priority="240">
      <formula>AND(C$9&gt;=14/24,C$9&lt;20/24)</formula>
    </cfRule>
    <cfRule type="expression" dxfId="5959" priority="241">
      <formula>AND(C$9&gt;=8/24,C$9&lt;14/24)</formula>
    </cfRule>
    <cfRule type="expression" dxfId="5958" priority="242">
      <formula>C$9&lt;8/24</formula>
    </cfRule>
  </conditionalFormatting>
  <conditionalFormatting sqref="A222">
    <cfRule type="expression" dxfId="5957" priority="243">
      <formula>$AH222=0</formula>
    </cfRule>
  </conditionalFormatting>
  <conditionalFormatting sqref="AG234">
    <cfRule type="expression" dxfId="5956" priority="244">
      <formula>B$9&gt;=20/24</formula>
    </cfRule>
    <cfRule type="expression" dxfId="5955" priority="245">
      <formula>AND(B$9&gt;=14/24,B$9&lt;20/24)</formula>
    </cfRule>
    <cfRule type="expression" dxfId="5954" priority="246">
      <formula>AND(B$9&gt;=8/24,B$9&lt;14/24)</formula>
    </cfRule>
    <cfRule type="expression" dxfId="5953" priority="247">
      <formula>B$9&lt;8/24</formula>
    </cfRule>
  </conditionalFormatting>
  <conditionalFormatting sqref="S8">
    <cfRule type="expression" dxfId="5952" priority="208">
      <formula>U$9&gt;=20/24</formula>
    </cfRule>
    <cfRule type="expression" dxfId="5951" priority="209">
      <formula>AND(U$9&gt;=14/24,U$9&lt;20/24)</formula>
    </cfRule>
    <cfRule type="expression" dxfId="5950" priority="210">
      <formula>AND(U$9&gt;=8/24,U$9&lt;14/24)</formula>
    </cfRule>
    <cfRule type="expression" dxfId="5949" priority="211">
      <formula>U$9&lt;8/24</formula>
    </cfRule>
  </conditionalFormatting>
  <conditionalFormatting sqref="AB8">
    <cfRule type="expression" dxfId="5948" priority="204">
      <formula>AD$9&gt;=20/24</formula>
    </cfRule>
    <cfRule type="expression" dxfId="5947" priority="205">
      <formula>AND(AD$9&gt;=14/24,AD$9&lt;20/24)</formula>
    </cfRule>
    <cfRule type="expression" dxfId="5946" priority="206">
      <formula>AND(AD$9&gt;=8/24,AD$9&lt;14/24)</formula>
    </cfRule>
    <cfRule type="expression" dxfId="5945" priority="207">
      <formula>AD$9&lt;8/24</formula>
    </cfRule>
  </conditionalFormatting>
  <conditionalFormatting sqref="AH234:AX234">
    <cfRule type="expression" dxfId="5944" priority="248">
      <formula>AG$9&gt;=20/24</formula>
    </cfRule>
    <cfRule type="expression" dxfId="5943" priority="249">
      <formula>AND(AG$9&gt;=14/24,AG$9&lt;20/24)</formula>
    </cfRule>
    <cfRule type="expression" dxfId="5942" priority="250">
      <formula>AND(AG$9&gt;=8/24,AG$9&lt;14/24)</formula>
    </cfRule>
    <cfRule type="expression" dxfId="5941" priority="251">
      <formula>AG$9&lt;8/24</formula>
    </cfRule>
  </conditionalFormatting>
  <conditionalFormatting sqref="T234">
    <cfRule type="expression" dxfId="5940" priority="252">
      <formula>AX$9&gt;=20/24</formula>
    </cfRule>
    <cfRule type="expression" dxfId="5939" priority="253">
      <formula>AND(AX$9&gt;=14/24,AX$9&lt;20/24)</formula>
    </cfRule>
    <cfRule type="expression" dxfId="5938" priority="254">
      <formula>AND(AX$9&gt;=8/24,AX$9&lt;14/24)</formula>
    </cfRule>
    <cfRule type="expression" dxfId="5937" priority="255">
      <formula>AX$9&lt;8/24</formula>
    </cfRule>
  </conditionalFormatting>
  <conditionalFormatting sqref="A104:A105">
    <cfRule type="expression" dxfId="5936" priority="203">
      <formula>$AH104=0</formula>
    </cfRule>
  </conditionalFormatting>
  <conditionalFormatting sqref="E61:AF61 AB44:AF45">
    <cfRule type="expression" dxfId="5935" priority="199">
      <formula>E$9&gt;=20/24</formula>
    </cfRule>
    <cfRule type="expression" dxfId="5934" priority="200">
      <formula>AND(E$9&gt;=14/24,E$9&lt;20/24)</formula>
    </cfRule>
    <cfRule type="expression" dxfId="5933" priority="201">
      <formula>AND(E$9&gt;=8/24,E$9&lt;14/24)</formula>
    </cfRule>
    <cfRule type="expression" dxfId="5932" priority="202">
      <formula>E$9&lt;8/24</formula>
    </cfRule>
  </conditionalFormatting>
  <conditionalFormatting sqref="AB43:AF43">
    <cfRule type="expression" dxfId="5931" priority="195">
      <formula>AB$9&gt;=20/24</formula>
    </cfRule>
    <cfRule type="expression" dxfId="5930" priority="196">
      <formula>AND(AB$9&gt;=14/24,AB$9&lt;20/24)</formula>
    </cfRule>
    <cfRule type="expression" dxfId="5929" priority="197">
      <formula>AND(AB$9&gt;=8/24,AB$9&lt;14/24)</formula>
    </cfRule>
    <cfRule type="expression" dxfId="5928" priority="198">
      <formula>AB$9&lt;8/24</formula>
    </cfRule>
  </conditionalFormatting>
  <conditionalFormatting sqref="AB43:AF45">
    <cfRule type="expression" dxfId="5927" priority="194">
      <formula>AB43&gt;$AG43</formula>
    </cfRule>
  </conditionalFormatting>
  <conditionalFormatting sqref="C86:AF86 E62:AE63 AF62:AF71 M37:R37 D57:AF59 C90:AF96 S12:AF14 AB16:AF16 S25:AF25 G64:AF71 C73:AF76">
    <cfRule type="expression" dxfId="5926" priority="190">
      <formula>C$9&gt;=20/24</formula>
    </cfRule>
    <cfRule type="expression" dxfId="5925" priority="191">
      <formula>AND(C$9&gt;=14/24,C$9&lt;20/24)</formula>
    </cfRule>
    <cfRule type="expression" dxfId="5924" priority="192">
      <formula>AND(C$9&gt;=8/24,C$9&lt;14/24)</formula>
    </cfRule>
    <cfRule type="expression" dxfId="5923" priority="193">
      <formula>C$9&lt;8/24</formula>
    </cfRule>
  </conditionalFormatting>
  <conditionalFormatting sqref="AB46:AD46 C55:AF55 M37:R37 D57:AF59 AC47:AD47 AE46:AF47 S25:AF25">
    <cfRule type="expression" dxfId="5922" priority="185">
      <formula>C25&gt;$AG25</formula>
    </cfRule>
  </conditionalFormatting>
  <conditionalFormatting sqref="S15:AF15">
    <cfRule type="expression" dxfId="5921" priority="177">
      <formula>S$9&gt;=20/24</formula>
    </cfRule>
    <cfRule type="expression" dxfId="5920" priority="178">
      <formula>AND(S$9&gt;=14/24,S$9&lt;20/24)</formula>
    </cfRule>
    <cfRule type="expression" dxfId="5919" priority="179">
      <formula>AND(S$9&gt;=8/24,S$9&lt;14/24)</formula>
    </cfRule>
    <cfRule type="expression" dxfId="5918" priority="180">
      <formula>S$9&lt;8/24</formula>
    </cfRule>
  </conditionalFormatting>
  <conditionalFormatting sqref="S11:AA11">
    <cfRule type="expression" dxfId="5917" priority="168">
      <formula>S$9&gt;=20/24</formula>
    </cfRule>
    <cfRule type="expression" dxfId="5916" priority="169">
      <formula>AND(S$9&gt;=14/24,S$9&lt;20/24)</formula>
    </cfRule>
    <cfRule type="expression" dxfId="5915" priority="170">
      <formula>AND(S$9&gt;=8/24,S$9&lt;14/24)</formula>
    </cfRule>
    <cfRule type="expression" dxfId="5914" priority="171">
      <formula>S$9&lt;8/24</formula>
    </cfRule>
  </conditionalFormatting>
  <conditionalFormatting sqref="AC48:AF54">
    <cfRule type="expression" dxfId="5913" priority="164">
      <formula>AC$9&gt;=20/24</formula>
    </cfRule>
    <cfRule type="expression" dxfId="5912" priority="165">
      <formula>AND(AC$9&gt;=14/24,AC$9&lt;20/24)</formula>
    </cfRule>
    <cfRule type="expression" dxfId="5911" priority="166">
      <formula>AND(AC$9&gt;=8/24,AC$9&lt;14/24)</formula>
    </cfRule>
    <cfRule type="expression" dxfId="5910" priority="167">
      <formula>AC$9&lt;8/24</formula>
    </cfRule>
  </conditionalFormatting>
  <conditionalFormatting sqref="AC48:AF54">
    <cfRule type="expression" dxfId="5909" priority="163">
      <formula>AC48&gt;$AG48</formula>
    </cfRule>
  </conditionalFormatting>
  <conditionalFormatting sqref="N43:O47 P43:AA54 AB47:AB54">
    <cfRule type="expression" dxfId="5908" priority="159">
      <formula>N$9&gt;=20/24</formula>
    </cfRule>
    <cfRule type="expression" dxfId="5907" priority="160">
      <formula>AND(N$9&gt;=14/24,N$9&lt;20/24)</formula>
    </cfRule>
    <cfRule type="expression" dxfId="5906" priority="161">
      <formula>AND(N$9&gt;=8/24,N$9&lt;14/24)</formula>
    </cfRule>
    <cfRule type="expression" dxfId="5905" priority="162">
      <formula>N$9&lt;8/24</formula>
    </cfRule>
  </conditionalFormatting>
  <conditionalFormatting sqref="N43:O47 P43:AA54 AB47:AB54">
    <cfRule type="expression" dxfId="5904" priority="158">
      <formula>N43&gt;$AG43</formula>
    </cfRule>
  </conditionalFormatting>
  <conditionalFormatting sqref="B31:AF31">
    <cfRule type="expression" dxfId="5903" priority="150">
      <formula>B$9&gt;=20/24</formula>
    </cfRule>
    <cfRule type="expression" dxfId="5902" priority="151">
      <formula>AND(B$9&gt;=14/24,B$9&lt;20/24)</formula>
    </cfRule>
    <cfRule type="expression" dxfId="5901" priority="152">
      <formula>AND(B$9&gt;=8/24,B$9&lt;14/24)</formula>
    </cfRule>
    <cfRule type="expression" dxfId="5900" priority="153">
      <formula>B$9&lt;8/24</formula>
    </cfRule>
  </conditionalFormatting>
  <conditionalFormatting sqref="B31:AF31">
    <cfRule type="expression" dxfId="5899" priority="145">
      <formula>B31&gt;$AG31</formula>
    </cfRule>
  </conditionalFormatting>
  <conditionalFormatting sqref="B99:B105 B78:AF78 B87:AF87 B11:R11">
    <cfRule type="expression" dxfId="5898" priority="100">
      <formula>B$9&gt;=20/24</formula>
    </cfRule>
    <cfRule type="expression" dxfId="5897" priority="101">
      <formula>AND(B$9&gt;=14/24,B$9&lt;20/24)</formula>
    </cfRule>
    <cfRule type="expression" dxfId="5896" priority="102">
      <formula>AND(B$9&gt;=8/24,B$9&lt;14/24)</formula>
    </cfRule>
    <cfRule type="expression" dxfId="5895" priority="103">
      <formula>B$9&lt;8/24</formula>
    </cfRule>
  </conditionalFormatting>
  <conditionalFormatting sqref="B37:L37">
    <cfRule type="expression" dxfId="5894" priority="96">
      <formula>B$9&gt;=20/24</formula>
    </cfRule>
    <cfRule type="expression" dxfId="5893" priority="97">
      <formula>AND(B$9&gt;=14/24,B$9&lt;20/24)</formula>
    </cfRule>
    <cfRule type="expression" dxfId="5892" priority="98">
      <formula>AND(B$9&gt;=8/24,B$9&lt;14/24)</formula>
    </cfRule>
    <cfRule type="expression" dxfId="5891" priority="99">
      <formula>B$9&lt;8/24</formula>
    </cfRule>
  </conditionalFormatting>
  <conditionalFormatting sqref="B37:L37 B11:R11">
    <cfRule type="expression" dxfId="5890" priority="95">
      <formula>B11&gt;$AG11</formula>
    </cfRule>
  </conditionalFormatting>
  <conditionalFormatting sqref="B89">
    <cfRule type="expression" dxfId="5889" priority="91">
      <formula>B$9&gt;=20/24</formula>
    </cfRule>
    <cfRule type="expression" dxfId="5888" priority="92">
      <formula>AND(B$9&gt;=14/24,B$9&lt;20/24)</formula>
    </cfRule>
    <cfRule type="expression" dxfId="5887" priority="93">
      <formula>AND(B$9&gt;=8/24,B$9&lt;14/24)</formula>
    </cfRule>
    <cfRule type="expression" dxfId="5886" priority="94">
      <formula>B$9&lt;8/24</formula>
    </cfRule>
  </conditionalFormatting>
  <conditionalFormatting sqref="B61:D61 B44:M45 B36:AF36">
    <cfRule type="expression" dxfId="5885" priority="87">
      <formula>B$9&gt;=20/24</formula>
    </cfRule>
    <cfRule type="expression" dxfId="5884" priority="88">
      <formula>AND(B$9&gt;=14/24,B$9&lt;20/24)</formula>
    </cfRule>
    <cfRule type="expression" dxfId="5883" priority="89">
      <formula>AND(B$9&gt;=8/24,B$9&lt;14/24)</formula>
    </cfRule>
    <cfRule type="expression" dxfId="5882" priority="90">
      <formula>B$9&lt;8/24</formula>
    </cfRule>
  </conditionalFormatting>
  <conditionalFormatting sqref="B43:M43">
    <cfRule type="expression" dxfId="5881" priority="83">
      <formula>B$9&gt;=20/24</formula>
    </cfRule>
    <cfRule type="expression" dxfId="5880" priority="84">
      <formula>AND(B$9&gt;=14/24,B$9&lt;20/24)</formula>
    </cfRule>
    <cfRule type="expression" dxfId="5879" priority="85">
      <formula>AND(B$9&gt;=8/24,B$9&lt;14/24)</formula>
    </cfRule>
    <cfRule type="expression" dxfId="5878" priority="86">
      <formula>B$9&lt;8/24</formula>
    </cfRule>
  </conditionalFormatting>
  <conditionalFormatting sqref="B43:M45 B36:AF36">
    <cfRule type="expression" dxfId="5877" priority="82">
      <formula>B36&gt;$AG36</formula>
    </cfRule>
  </conditionalFormatting>
  <conditionalFormatting sqref="B90:B96 B57:B60 B73:B77 B79:AF79 B86 C60:AG60 C77:AG77 B88:AF88 C57:C59 B62:D71 E64:F71 B24:R26 B12:R14 B16:AA16 B18:AF22 S24:AF24 S26:AF26 B32:AF32 B28:AF30">
    <cfRule type="expression" dxfId="5876" priority="78">
      <formula>B$9&gt;=20/24</formula>
    </cfRule>
    <cfRule type="expression" dxfId="5875" priority="79">
      <formula>AND(B$9&gt;=14/24,B$9&lt;20/24)</formula>
    </cfRule>
    <cfRule type="expression" dxfId="5874" priority="80">
      <formula>AND(B$9&gt;=8/24,B$9&lt;14/24)</formula>
    </cfRule>
    <cfRule type="expression" dxfId="5873" priority="81">
      <formula>B$9&lt;8/24</formula>
    </cfRule>
  </conditionalFormatting>
  <conditionalFormatting sqref="B33:AF33">
    <cfRule type="expression" dxfId="5872" priority="74">
      <formula>B$9&gt;=20/24</formula>
    </cfRule>
    <cfRule type="expression" dxfId="5871" priority="75">
      <formula>AND(B$9&gt;=14/24,B$9&lt;20/24)</formula>
    </cfRule>
    <cfRule type="expression" dxfId="5870" priority="76">
      <formula>AND(B$9&gt;=8/24,B$9&lt;14/24)</formula>
    </cfRule>
    <cfRule type="expression" dxfId="5869" priority="77">
      <formula>B$9&lt;8/24</formula>
    </cfRule>
  </conditionalFormatting>
  <conditionalFormatting sqref="B55:B60 B38:AG38 C56:AG56 C60:AG60 C57:C59 B46:M47 B24:R30 B18:AF22 S24:AF24 B32:AF33 S26:AF30">
    <cfRule type="expression" dxfId="5868" priority="73">
      <formula>B18&gt;$AG18</formula>
    </cfRule>
  </conditionalFormatting>
  <conditionalFormatting sqref="B35:AF35">
    <cfRule type="expression" dxfId="5867" priority="69">
      <formula>B$9&gt;=20/24</formula>
    </cfRule>
    <cfRule type="expression" dxfId="5866" priority="70">
      <formula>AND(B$9&gt;=14/24,B$9&lt;20/24)</formula>
    </cfRule>
    <cfRule type="expression" dxfId="5865" priority="71">
      <formula>AND(B$9&gt;=8/24,B$9&lt;14/24)</formula>
    </cfRule>
    <cfRule type="expression" dxfId="5864" priority="72">
      <formula>B$9&lt;8/24</formula>
    </cfRule>
  </conditionalFormatting>
  <conditionalFormatting sqref="B15:R15">
    <cfRule type="expression" dxfId="5863" priority="65">
      <formula>B$9&gt;=20/24</formula>
    </cfRule>
    <cfRule type="expression" dxfId="5862" priority="66">
      <formula>AND(B$9&gt;=14/24,B$9&lt;20/24)</formula>
    </cfRule>
    <cfRule type="expression" dxfId="5861" priority="67">
      <formula>AND(B$9&gt;=8/24,B$9&lt;14/24)</formula>
    </cfRule>
    <cfRule type="expression" dxfId="5860" priority="68">
      <formula>B$9&lt;8/24</formula>
    </cfRule>
  </conditionalFormatting>
  <conditionalFormatting sqref="B34:AF34">
    <cfRule type="expression" dxfId="5859" priority="61">
      <formula>B$9&gt;=20/24</formula>
    </cfRule>
    <cfRule type="expression" dxfId="5858" priority="62">
      <formula>AND(B$9&gt;=14/24,B$9&lt;20/24)</formula>
    </cfRule>
    <cfRule type="expression" dxfId="5857" priority="63">
      <formula>AND(B$9&gt;=8/24,B$9&lt;14/24)</formula>
    </cfRule>
    <cfRule type="expression" dxfId="5856" priority="64">
      <formula>B$9&lt;8/24</formula>
    </cfRule>
  </conditionalFormatting>
  <conditionalFormatting sqref="B34:AF34">
    <cfRule type="expression" dxfId="5855" priority="60">
      <formula>B34&gt;$AG34</formula>
    </cfRule>
  </conditionalFormatting>
  <conditionalFormatting sqref="B48:O54">
    <cfRule type="expression" dxfId="5854" priority="56">
      <formula>B$9&gt;=20/24</formula>
    </cfRule>
    <cfRule type="expression" dxfId="5853" priority="57">
      <formula>AND(B$9&gt;=14/24,B$9&lt;20/24)</formula>
    </cfRule>
    <cfRule type="expression" dxfId="5852" priority="58">
      <formula>AND(B$9&gt;=8/24,B$9&lt;14/24)</formula>
    </cfRule>
    <cfRule type="expression" dxfId="5851" priority="59">
      <formula>B$9&lt;8/24</formula>
    </cfRule>
  </conditionalFormatting>
  <conditionalFormatting sqref="B48:O54">
    <cfRule type="expression" dxfId="5850" priority="55">
      <formula>B48&gt;$AG48</formula>
    </cfRule>
  </conditionalFormatting>
  <conditionalFormatting sqref="B27:AF27">
    <cfRule type="expression" dxfId="5849" priority="51">
      <formula>B$9&gt;=20/24</formula>
    </cfRule>
    <cfRule type="expression" dxfId="5848" priority="52">
      <formula>AND(B$9&gt;=14/24,B$9&lt;20/24)</formula>
    </cfRule>
    <cfRule type="expression" dxfId="5847" priority="53">
      <formula>AND(B$9&gt;=8/24,B$9&lt;14/24)</formula>
    </cfRule>
    <cfRule type="expression" dxfId="5846" priority="54">
      <formula>B$9&lt;8/24</formula>
    </cfRule>
  </conditionalFormatting>
  <conditionalFormatting sqref="B23:AF23 B17:AF17">
    <cfRule type="expression" dxfId="5845" priority="47">
      <formula>B$9&gt;=20/24</formula>
    </cfRule>
    <cfRule type="expression" dxfId="5844" priority="48">
      <formula>AND(B$9&gt;=14/24,B$9&lt;20/24)</formula>
    </cfRule>
    <cfRule type="expression" dxfId="5843" priority="49">
      <formula>AND(B$9&gt;=8/24,B$9&lt;14/24)</formula>
    </cfRule>
    <cfRule type="expression" dxfId="5842" priority="50">
      <formula>B$9&lt;8/24</formula>
    </cfRule>
  </conditionalFormatting>
  <conditionalFormatting sqref="B23:AF23 B17:AF17">
    <cfRule type="expression" dxfId="5841" priority="46">
      <formula>B17&gt;$AG17</formula>
    </cfRule>
  </conditionalFormatting>
  <conditionalFormatting sqref="A34">
    <cfRule type="expression" dxfId="5840" priority="45">
      <formula>$AH34=0</formula>
    </cfRule>
  </conditionalFormatting>
  <conditionalFormatting sqref="B72:AF72">
    <cfRule type="expression" dxfId="5839" priority="41">
      <formula>B$9&gt;=20/24</formula>
    </cfRule>
    <cfRule type="expression" dxfId="5838" priority="42">
      <formula>AND(B$9&gt;=14/24,B$9&lt;20/24)</formula>
    </cfRule>
    <cfRule type="expression" dxfId="5837" priority="43">
      <formula>AND(B$9&gt;=8/24,B$9&lt;14/24)</formula>
    </cfRule>
    <cfRule type="expression" dxfId="5836" priority="44">
      <formula>B$9&lt;8/24</formula>
    </cfRule>
  </conditionalFormatting>
  <conditionalFormatting sqref="B81:AF85">
    <cfRule type="expression" dxfId="5835" priority="37">
      <formula>B$9&gt;=20/24</formula>
    </cfRule>
    <cfRule type="expression" dxfId="5834" priority="38">
      <formula>AND(B$9&gt;=14/24,B$9&lt;20/24)</formula>
    </cfRule>
    <cfRule type="expression" dxfId="5833" priority="39">
      <formula>AND(B$9&gt;=8/24,B$9&lt;14/24)</formula>
    </cfRule>
    <cfRule type="expression" dxfId="5832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5831" priority="33">
      <formula>M$9&gt;=20/24</formula>
    </cfRule>
    <cfRule type="expression" dxfId="5830" priority="34">
      <formula>AND(M$9&gt;=14/24,M$9&lt;20/24)</formula>
    </cfRule>
    <cfRule type="expression" dxfId="5829" priority="35">
      <formula>AND(M$9&gt;=8/24,M$9&lt;14/24)</formula>
    </cfRule>
    <cfRule type="expression" dxfId="5828" priority="36">
      <formula>M$9&lt;8/24</formula>
    </cfRule>
  </conditionalFormatting>
  <conditionalFormatting sqref="M39:AF41">
    <cfRule type="expression" dxfId="5827" priority="32">
      <formula>M39&gt;$AG39</formula>
    </cfRule>
  </conditionalFormatting>
  <conditionalFormatting sqref="B39:B42 C42:AG42 C39:L41">
    <cfRule type="expression" dxfId="5826" priority="28">
      <formula>B$9&gt;=20/24</formula>
    </cfRule>
    <cfRule type="expression" dxfId="5825" priority="29">
      <formula>AND(B$9&gt;=14/24,B$9&lt;20/24)</formula>
    </cfRule>
    <cfRule type="expression" dxfId="5824" priority="30">
      <formula>AND(B$9&gt;=8/24,B$9&lt;14/24)</formula>
    </cfRule>
    <cfRule type="expression" dxfId="5823" priority="31">
      <formula>B$9&lt;8/24</formula>
    </cfRule>
  </conditionalFormatting>
  <conditionalFormatting sqref="B39:B42 C42:AG42 C39:L41">
    <cfRule type="expression" dxfId="5822" priority="27">
      <formula>B39&gt;$AG39</formula>
    </cfRule>
  </conditionalFormatting>
  <conditionalFormatting sqref="C97:AF97">
    <cfRule type="expression" dxfId="5821" priority="23">
      <formula>C$9&gt;=20/24</formula>
    </cfRule>
    <cfRule type="expression" dxfId="5820" priority="24">
      <formula>AND(C$9&gt;=14/24,C$9&lt;20/24)</formula>
    </cfRule>
    <cfRule type="expression" dxfId="5819" priority="25">
      <formula>AND(C$9&gt;=8/24,C$9&lt;14/24)</formula>
    </cfRule>
    <cfRule type="expression" dxfId="5818" priority="26">
      <formula>C$9&lt;8/24</formula>
    </cfRule>
  </conditionalFormatting>
  <conditionalFormatting sqref="B97">
    <cfRule type="expression" dxfId="5817" priority="19">
      <formula>B$9&gt;=20/24</formula>
    </cfRule>
    <cfRule type="expression" dxfId="5816" priority="20">
      <formula>AND(B$9&gt;=14/24,B$9&lt;20/24)</formula>
    </cfRule>
    <cfRule type="expression" dxfId="5815" priority="21">
      <formula>AND(B$9&gt;=8/24,B$9&lt;14/24)</formula>
    </cfRule>
    <cfRule type="expression" dxfId="5814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813" priority="12">
      <formula>$AH31=0</formula>
    </cfRule>
  </conditionalFormatting>
  <conditionalFormatting sqref="A80">
    <cfRule type="expression" dxfId="5812" priority="10">
      <formula>$AH80=0</formula>
    </cfRule>
  </conditionalFormatting>
  <conditionalFormatting sqref="A77">
    <cfRule type="expression" dxfId="5811" priority="11">
      <formula>$AH77=0</formula>
    </cfRule>
  </conditionalFormatting>
  <conditionalFormatting sqref="A106">
    <cfRule type="expression" dxfId="5810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1732C6D1-6ECF-4957-9A6A-37D5425E1F1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D55815D4-C206-4E78-ABE1-918211B728F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DB111A82-F4B4-4C00-BDD8-C23D499CFEA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51422787-DBFC-419F-8955-D1A06404B30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C9BE7E23-0D94-4EB0-B0A7-044B229914B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1F135555-EB01-44DD-9AA3-5708398D83E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1EA319C3-293D-4B2B-9A99-90677EAE6EE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4E8C6EA1-C406-4067-8462-6CECF62D1F2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6D1EAE16-EB0D-4A33-9EDF-07F831C4F34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3AD01589-4860-4C6D-9258-80C8AAC74A0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A65EB12A-AC23-41E8-8F6F-4CFD1DFDC33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FE9BAAE8-95E9-48D6-B8E2-DEA42DFC070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CJ493"/>
  <sheetViews>
    <sheetView zoomScale="90" zoomScaleNormal="90" workbookViewId="0">
      <pane xSplit="1" ySplit="10" topLeftCell="B86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6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2079/02/11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40.4</v>
      </c>
      <c r="C5" s="205">
        <f t="shared" si="0"/>
        <v>39.1</v>
      </c>
      <c r="D5" s="205">
        <f t="shared" si="0"/>
        <v>40</v>
      </c>
      <c r="E5" s="205">
        <f t="shared" si="0"/>
        <v>72.900000000000006</v>
      </c>
      <c r="F5" s="205">
        <f t="shared" si="0"/>
        <v>63.4</v>
      </c>
      <c r="G5" s="205">
        <f t="shared" si="0"/>
        <v>64.3</v>
      </c>
      <c r="H5" s="205">
        <f t="shared" si="0"/>
        <v>0</v>
      </c>
      <c r="I5" s="205">
        <f t="shared" si="0"/>
        <v>15</v>
      </c>
      <c r="J5" s="205">
        <f t="shared" si="0"/>
        <v>408</v>
      </c>
      <c r="K5" s="205">
        <f t="shared" si="0"/>
        <v>7</v>
      </c>
      <c r="L5" s="205">
        <f t="shared" si="0"/>
        <v>12.3</v>
      </c>
      <c r="M5" s="205">
        <f t="shared" si="0"/>
        <v>50.8</v>
      </c>
      <c r="N5" s="205">
        <f t="shared" si="0"/>
        <v>18.399999999999999</v>
      </c>
      <c r="O5" s="205">
        <f t="shared" si="0"/>
        <v>43</v>
      </c>
      <c r="P5" s="205">
        <f t="shared" si="0"/>
        <v>52</v>
      </c>
      <c r="Q5" s="205">
        <f t="shared" si="0"/>
        <v>60.7</v>
      </c>
      <c r="R5" s="205">
        <f t="shared" si="0"/>
        <v>53.7</v>
      </c>
      <c r="S5" s="205">
        <f t="shared" si="0"/>
        <v>44.8</v>
      </c>
      <c r="T5" s="205">
        <f t="shared" si="0"/>
        <v>6.7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76</v>
      </c>
      <c r="AA5" s="205">
        <f t="shared" si="0"/>
        <v>52.8</v>
      </c>
      <c r="AB5" s="205">
        <f t="shared" si="0"/>
        <v>52</v>
      </c>
      <c r="AC5" s="205">
        <f t="shared" si="0"/>
        <v>52</v>
      </c>
      <c r="AD5" s="205">
        <f t="shared" si="0"/>
        <v>45</v>
      </c>
      <c r="AE5" s="205">
        <f t="shared" si="0"/>
        <v>20</v>
      </c>
      <c r="AF5" s="205">
        <f>B72</f>
        <v>81.2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2165MW at 7:00hr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Load=842</v>
      </c>
      <c r="B7" s="210">
        <f>B79</f>
        <v>1881.04</v>
      </c>
      <c r="C7" s="210">
        <f t="shared" ref="C7:AF7" si="1">C79</f>
        <v>1843.04</v>
      </c>
      <c r="D7" s="210">
        <f t="shared" si="1"/>
        <v>1852.64</v>
      </c>
      <c r="E7" s="210">
        <f t="shared" si="1"/>
        <v>1837.14</v>
      </c>
      <c r="F7" s="210">
        <f t="shared" si="1"/>
        <v>1807.3400000000001</v>
      </c>
      <c r="G7" s="210">
        <f t="shared" si="1"/>
        <v>1801.8400000000001</v>
      </c>
      <c r="H7" s="210">
        <f t="shared" si="1"/>
        <v>1801.64</v>
      </c>
      <c r="I7" s="210">
        <f t="shared" si="1"/>
        <v>841.54</v>
      </c>
      <c r="J7" s="210">
        <f t="shared" si="1"/>
        <v>1734.84</v>
      </c>
      <c r="K7" s="210">
        <f t="shared" si="1"/>
        <v>2165.04</v>
      </c>
      <c r="L7" s="210">
        <f t="shared" si="1"/>
        <v>1761.44</v>
      </c>
      <c r="M7" s="210">
        <f t="shared" si="1"/>
        <v>1791.24</v>
      </c>
      <c r="N7" s="210">
        <f t="shared" si="1"/>
        <v>1872.74</v>
      </c>
      <c r="O7" s="210">
        <f t="shared" si="1"/>
        <v>1783.94</v>
      </c>
      <c r="P7" s="210">
        <f t="shared" si="1"/>
        <v>1862.54</v>
      </c>
      <c r="Q7" s="210">
        <f t="shared" si="1"/>
        <v>1809.74</v>
      </c>
      <c r="R7" s="210">
        <f t="shared" si="1"/>
        <v>1834.6399999999999</v>
      </c>
      <c r="S7" s="210">
        <f t="shared" si="1"/>
        <v>1878.34</v>
      </c>
      <c r="T7" s="210">
        <f t="shared" si="1"/>
        <v>1828.9399999999998</v>
      </c>
      <c r="U7" s="210">
        <f t="shared" si="1"/>
        <v>1796.5399999999997</v>
      </c>
      <c r="V7" s="210">
        <f t="shared" si="1"/>
        <v>1789.8399999999997</v>
      </c>
      <c r="W7" s="210">
        <f t="shared" si="1"/>
        <v>1781.8399999999997</v>
      </c>
      <c r="X7" s="210">
        <f t="shared" si="1"/>
        <v>1799.7399999999998</v>
      </c>
      <c r="Y7" s="210">
        <f t="shared" si="1"/>
        <v>1779.7399999999998</v>
      </c>
      <c r="Z7" s="210">
        <f t="shared" si="1"/>
        <v>1582.84</v>
      </c>
      <c r="AA7" s="210">
        <f t="shared" si="1"/>
        <v>1872.6399999999999</v>
      </c>
      <c r="AB7" s="210">
        <f t="shared" si="1"/>
        <v>1857.34</v>
      </c>
      <c r="AC7" s="210">
        <f t="shared" si="1"/>
        <v>1856.54</v>
      </c>
      <c r="AD7" s="210">
        <f t="shared" si="1"/>
        <v>1864.3400000000001</v>
      </c>
      <c r="AE7" s="210">
        <f t="shared" si="1"/>
        <v>1833.94</v>
      </c>
      <c r="AF7" s="210">
        <f t="shared" si="1"/>
        <v>1775.94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53.6</v>
      </c>
      <c r="C11" s="221">
        <v>53.6</v>
      </c>
      <c r="D11" s="222">
        <v>53.7</v>
      </c>
      <c r="E11" s="222">
        <v>53.7</v>
      </c>
      <c r="F11" s="222">
        <v>53.7</v>
      </c>
      <c r="G11" s="222">
        <v>53.7</v>
      </c>
      <c r="H11" s="222">
        <v>53.7</v>
      </c>
      <c r="I11" s="222"/>
      <c r="J11" s="222">
        <v>53.7</v>
      </c>
      <c r="K11" s="222">
        <v>53.7</v>
      </c>
      <c r="L11" s="222">
        <v>53.7</v>
      </c>
      <c r="M11" s="222">
        <v>53.7</v>
      </c>
      <c r="N11" s="222">
        <v>53.7</v>
      </c>
      <c r="O11" s="222">
        <v>53.7</v>
      </c>
      <c r="P11" s="222">
        <v>53.7</v>
      </c>
      <c r="Q11" s="222">
        <v>53.6</v>
      </c>
      <c r="R11" s="222">
        <v>53.6</v>
      </c>
      <c r="S11" s="222">
        <v>53.6</v>
      </c>
      <c r="T11" s="222">
        <v>53.6</v>
      </c>
      <c r="U11" s="222">
        <v>53.6</v>
      </c>
      <c r="V11" s="222">
        <v>53.6</v>
      </c>
      <c r="W11" s="222">
        <v>53.6</v>
      </c>
      <c r="X11" s="222">
        <v>53.6</v>
      </c>
      <c r="Y11" s="222">
        <v>53.6</v>
      </c>
      <c r="Z11" s="222">
        <v>53.6</v>
      </c>
      <c r="AA11" s="224">
        <v>53.6</v>
      </c>
      <c r="AB11" s="224">
        <v>53.6</v>
      </c>
      <c r="AC11" s="224">
        <v>53.6</v>
      </c>
      <c r="AD11" s="224">
        <v>53.6</v>
      </c>
      <c r="AE11" s="224">
        <v>53.6</v>
      </c>
      <c r="AF11" s="224">
        <v>53.6</v>
      </c>
      <c r="AG11" s="225">
        <v>52.4</v>
      </c>
      <c r="AH11" s="226">
        <f>MAX(B11:AF11)</f>
        <v>53.7</v>
      </c>
      <c r="AI11" s="227">
        <f>MIN(B11:AF11)</f>
        <v>53.6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50.5</v>
      </c>
      <c r="C12" s="221">
        <v>50.5</v>
      </c>
      <c r="D12" s="221">
        <v>50.7</v>
      </c>
      <c r="E12" s="221">
        <v>50.7</v>
      </c>
      <c r="F12" s="221">
        <v>50.7</v>
      </c>
      <c r="G12" s="221">
        <v>50.7</v>
      </c>
      <c r="H12" s="221">
        <v>50.7</v>
      </c>
      <c r="I12" s="221" t="s">
        <v>256</v>
      </c>
      <c r="J12" s="221">
        <v>50.7</v>
      </c>
      <c r="K12" s="221">
        <v>50.7</v>
      </c>
      <c r="L12" s="221">
        <v>50.7</v>
      </c>
      <c r="M12" s="221">
        <v>50.7</v>
      </c>
      <c r="N12" s="221">
        <v>50.7</v>
      </c>
      <c r="O12" s="221">
        <v>50.7</v>
      </c>
      <c r="P12" s="221">
        <v>50.7</v>
      </c>
      <c r="Q12" s="221">
        <v>50.5</v>
      </c>
      <c r="R12" s="221">
        <v>50.4</v>
      </c>
      <c r="S12" s="221">
        <v>50.4</v>
      </c>
      <c r="T12" s="221">
        <v>50.4</v>
      </c>
      <c r="U12" s="221">
        <v>50.4</v>
      </c>
      <c r="V12" s="221">
        <v>50.4</v>
      </c>
      <c r="W12" s="221">
        <v>50.4</v>
      </c>
      <c r="X12" s="221">
        <v>50.4</v>
      </c>
      <c r="Y12" s="221">
        <v>50.4</v>
      </c>
      <c r="Z12" s="221">
        <v>50.4</v>
      </c>
      <c r="AA12" s="221">
        <v>50.4</v>
      </c>
      <c r="AB12" s="221">
        <v>50.4</v>
      </c>
      <c r="AC12" s="221">
        <v>50.4</v>
      </c>
      <c r="AD12" s="221">
        <v>50.4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50.4</v>
      </c>
      <c r="AK12" s="227">
        <f>8367*7.37*1.6</f>
        <v>98663.664000000004</v>
      </c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 t="s">
        <v>257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46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34</v>
      </c>
      <c r="C14" s="221">
        <v>34</v>
      </c>
      <c r="D14" s="221">
        <v>30</v>
      </c>
      <c r="E14" s="221">
        <v>30</v>
      </c>
      <c r="F14" s="221">
        <v>35</v>
      </c>
      <c r="G14" s="221">
        <v>35</v>
      </c>
      <c r="H14" s="221">
        <v>35</v>
      </c>
      <c r="I14" s="221" t="s">
        <v>256</v>
      </c>
      <c r="J14" s="221">
        <v>20</v>
      </c>
      <c r="K14" s="221">
        <v>32</v>
      </c>
      <c r="L14" s="221">
        <v>32</v>
      </c>
      <c r="M14" s="221">
        <v>32</v>
      </c>
      <c r="N14" s="221">
        <v>40</v>
      </c>
      <c r="O14" s="221">
        <v>0</v>
      </c>
      <c r="P14" s="221">
        <v>40</v>
      </c>
      <c r="Q14" s="221">
        <v>30</v>
      </c>
      <c r="R14" s="221">
        <v>40</v>
      </c>
      <c r="S14" s="221">
        <v>35</v>
      </c>
      <c r="T14" s="221">
        <v>32</v>
      </c>
      <c r="U14" s="221">
        <v>28</v>
      </c>
      <c r="V14" s="221">
        <v>28</v>
      </c>
      <c r="W14" s="221">
        <v>28</v>
      </c>
      <c r="X14" s="221">
        <v>28</v>
      </c>
      <c r="Y14" s="221">
        <v>28</v>
      </c>
      <c r="Z14" s="221">
        <v>28</v>
      </c>
      <c r="AA14" s="221">
        <v>40</v>
      </c>
      <c r="AB14" s="221">
        <v>35</v>
      </c>
      <c r="AC14" s="221">
        <v>35</v>
      </c>
      <c r="AD14" s="221">
        <v>35</v>
      </c>
      <c r="AE14" s="221">
        <v>30</v>
      </c>
      <c r="AF14" s="221">
        <v>27</v>
      </c>
      <c r="AG14" s="229">
        <v>42</v>
      </c>
      <c r="AH14" s="226">
        <f t="shared" si="2"/>
        <v>40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15</v>
      </c>
      <c r="C15" s="221">
        <v>25</v>
      </c>
      <c r="D15" s="221">
        <v>30</v>
      </c>
      <c r="E15" s="221">
        <v>20</v>
      </c>
      <c r="F15" s="221">
        <v>20</v>
      </c>
      <c r="G15" s="221">
        <v>25</v>
      </c>
      <c r="H15" s="221">
        <v>25</v>
      </c>
      <c r="I15" s="221" t="s">
        <v>253</v>
      </c>
      <c r="J15" s="221">
        <v>10</v>
      </c>
      <c r="K15" s="221">
        <v>0</v>
      </c>
      <c r="L15" s="221">
        <v>0</v>
      </c>
      <c r="M15" s="221">
        <v>10</v>
      </c>
      <c r="N15" s="221">
        <v>30</v>
      </c>
      <c r="O15" s="221">
        <v>30</v>
      </c>
      <c r="P15" s="221">
        <v>25</v>
      </c>
      <c r="Q15" s="221">
        <v>30</v>
      </c>
      <c r="R15" s="221">
        <v>30</v>
      </c>
      <c r="S15" s="221">
        <v>30</v>
      </c>
      <c r="T15" s="221">
        <v>30</v>
      </c>
      <c r="U15" s="221">
        <v>10</v>
      </c>
      <c r="V15" s="221">
        <v>10</v>
      </c>
      <c r="W15" s="221">
        <v>10</v>
      </c>
      <c r="X15" s="221">
        <v>30</v>
      </c>
      <c r="Y15" s="221">
        <v>10</v>
      </c>
      <c r="Z15" s="221">
        <v>10</v>
      </c>
      <c r="AA15" s="221">
        <v>29.8</v>
      </c>
      <c r="AB15" s="221">
        <v>29.8</v>
      </c>
      <c r="AC15" s="221">
        <v>29.8</v>
      </c>
      <c r="AD15" s="221">
        <v>29.8</v>
      </c>
      <c r="AE15" s="221">
        <v>20</v>
      </c>
      <c r="AF15" s="221">
        <v>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26.3</v>
      </c>
      <c r="C16" s="221">
        <v>26.3</v>
      </c>
      <c r="D16" s="221">
        <v>26.3</v>
      </c>
      <c r="E16" s="221">
        <v>26.3</v>
      </c>
      <c r="F16" s="221">
        <v>26.3</v>
      </c>
      <c r="G16" s="221">
        <v>26.3</v>
      </c>
      <c r="H16" s="221">
        <v>26.3</v>
      </c>
      <c r="I16" s="221" t="s">
        <v>258</v>
      </c>
      <c r="J16" s="221">
        <v>25.6</v>
      </c>
      <c r="K16" s="221">
        <v>25.4</v>
      </c>
      <c r="L16" s="221">
        <v>25.4</v>
      </c>
      <c r="M16" s="221">
        <v>25.4</v>
      </c>
      <c r="N16" s="221">
        <v>25.4</v>
      </c>
      <c r="O16" s="221">
        <v>25.4</v>
      </c>
      <c r="P16" s="221">
        <v>25.4</v>
      </c>
      <c r="Q16" s="221">
        <v>25.6</v>
      </c>
      <c r="R16" s="221">
        <v>25.4</v>
      </c>
      <c r="S16" s="221">
        <v>25.4</v>
      </c>
      <c r="T16" s="221">
        <v>25.4</v>
      </c>
      <c r="U16" s="221">
        <v>25.4</v>
      </c>
      <c r="V16" s="221">
        <v>25.4</v>
      </c>
      <c r="W16" s="221">
        <v>25.4</v>
      </c>
      <c r="X16" s="221">
        <v>25.3</v>
      </c>
      <c r="Y16" s="221">
        <v>25.3</v>
      </c>
      <c r="Z16" s="221">
        <v>25.3</v>
      </c>
      <c r="AA16" s="221">
        <v>25.3</v>
      </c>
      <c r="AB16" s="221">
        <v>25.3</v>
      </c>
      <c r="AC16" s="221">
        <v>25.3</v>
      </c>
      <c r="AD16" s="221">
        <v>25.3</v>
      </c>
      <c r="AE16" s="221">
        <v>25.3</v>
      </c>
      <c r="AF16" s="221">
        <v>25.3</v>
      </c>
      <c r="AG16" s="229">
        <v>25</v>
      </c>
      <c r="AH16" s="226">
        <f t="shared" si="2"/>
        <v>26.3</v>
      </c>
      <c r="AI16" s="227">
        <f t="shared" si="3"/>
        <v>25.3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 t="s">
        <v>259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25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/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33.299999999999997</v>
      </c>
      <c r="C19" s="221">
        <v>33.299999999999997</v>
      </c>
      <c r="D19" s="221">
        <v>33.299999999999997</v>
      </c>
      <c r="E19" s="221">
        <v>33.299999999999997</v>
      </c>
      <c r="F19" s="221">
        <v>33.299999999999997</v>
      </c>
      <c r="G19" s="221">
        <v>33.299999999999997</v>
      </c>
      <c r="H19" s="221">
        <v>33.299999999999997</v>
      </c>
      <c r="I19" s="221" t="s">
        <v>266</v>
      </c>
      <c r="J19" s="221">
        <v>25</v>
      </c>
      <c r="K19" s="221">
        <v>33.1</v>
      </c>
      <c r="L19" s="221">
        <v>33.1</v>
      </c>
      <c r="M19" s="221">
        <v>33.1</v>
      </c>
      <c r="N19" s="221">
        <v>33.1</v>
      </c>
      <c r="O19" s="221">
        <v>33.1</v>
      </c>
      <c r="P19" s="221">
        <v>33.1</v>
      </c>
      <c r="Q19" s="221">
        <v>33.1</v>
      </c>
      <c r="R19" s="221">
        <v>33.299999999999997</v>
      </c>
      <c r="S19" s="221">
        <v>33.299999999999997</v>
      </c>
      <c r="T19" s="221">
        <v>33.299999999999997</v>
      </c>
      <c r="U19" s="221">
        <v>25.9</v>
      </c>
      <c r="V19" s="221">
        <v>25.9</v>
      </c>
      <c r="W19" s="221">
        <v>25.9</v>
      </c>
      <c r="X19" s="221">
        <v>25.9</v>
      </c>
      <c r="Y19" s="221">
        <v>25.9</v>
      </c>
      <c r="Z19" s="221">
        <v>25.9</v>
      </c>
      <c r="AA19" s="221">
        <v>26.5</v>
      </c>
      <c r="AB19" s="221">
        <v>26.5</v>
      </c>
      <c r="AC19" s="221">
        <v>26.5</v>
      </c>
      <c r="AD19" s="221">
        <v>33.4</v>
      </c>
      <c r="AE19" s="221">
        <v>24.8</v>
      </c>
      <c r="AF19" s="221">
        <v>24.8</v>
      </c>
      <c r="AG19" s="229">
        <v>24.2</v>
      </c>
      <c r="AH19" s="226">
        <f t="shared" si="2"/>
        <v>33.4</v>
      </c>
      <c r="AI19" s="227">
        <f t="shared" si="3"/>
        <v>24.8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23.7</v>
      </c>
      <c r="C20" s="221">
        <v>23.7</v>
      </c>
      <c r="D20" s="221">
        <v>23.7</v>
      </c>
      <c r="E20" s="221">
        <v>23.7</v>
      </c>
      <c r="F20" s="221">
        <v>23.7</v>
      </c>
      <c r="G20" s="221">
        <v>23.7</v>
      </c>
      <c r="H20" s="221">
        <v>23.7</v>
      </c>
      <c r="I20" s="221" t="s">
        <v>254</v>
      </c>
      <c r="J20" s="221">
        <v>23.7</v>
      </c>
      <c r="K20" s="221">
        <v>23.7</v>
      </c>
      <c r="L20" s="221">
        <v>23.7</v>
      </c>
      <c r="M20" s="221">
        <v>23.7</v>
      </c>
      <c r="N20" s="221">
        <v>23.7</v>
      </c>
      <c r="O20" s="221">
        <v>23.7</v>
      </c>
      <c r="P20" s="221">
        <v>23.7</v>
      </c>
      <c r="Q20" s="221">
        <v>23.7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23.7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 t="s">
        <v>256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 t="s">
        <v>253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 t="s">
        <v>267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 t="s">
        <v>252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10</v>
      </c>
      <c r="D25" s="221">
        <v>16</v>
      </c>
      <c r="E25" s="221">
        <v>16</v>
      </c>
      <c r="F25" s="221">
        <v>16</v>
      </c>
      <c r="G25" s="221">
        <v>16</v>
      </c>
      <c r="H25" s="221">
        <v>16</v>
      </c>
      <c r="I25" s="221" t="s">
        <v>268</v>
      </c>
      <c r="J25" s="221">
        <v>4</v>
      </c>
      <c r="K25" s="221">
        <v>0</v>
      </c>
      <c r="L25" s="221">
        <v>0</v>
      </c>
      <c r="M25" s="221">
        <v>10</v>
      </c>
      <c r="N25" s="221">
        <v>15</v>
      </c>
      <c r="O25" s="221">
        <v>0</v>
      </c>
      <c r="P25" s="221">
        <v>5</v>
      </c>
      <c r="Q25" s="221">
        <v>5</v>
      </c>
      <c r="R25" s="221">
        <v>15</v>
      </c>
      <c r="S25" s="221">
        <v>10</v>
      </c>
      <c r="T25" s="221">
        <v>10</v>
      </c>
      <c r="U25" s="221">
        <v>10</v>
      </c>
      <c r="V25" s="221">
        <v>10</v>
      </c>
      <c r="W25" s="221">
        <v>10</v>
      </c>
      <c r="X25" s="221">
        <v>10</v>
      </c>
      <c r="Y25" s="221">
        <v>10</v>
      </c>
      <c r="Z25" s="221">
        <v>10</v>
      </c>
      <c r="AA25" s="221">
        <v>15</v>
      </c>
      <c r="AB25" s="221">
        <v>10</v>
      </c>
      <c r="AC25" s="221">
        <v>10</v>
      </c>
      <c r="AD25" s="221">
        <v>10</v>
      </c>
      <c r="AE25" s="221">
        <v>10</v>
      </c>
      <c r="AF25" s="221">
        <v>0</v>
      </c>
      <c r="AG25" s="229">
        <v>20</v>
      </c>
      <c r="AH25" s="226">
        <f t="shared" si="2"/>
        <v>16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/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/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/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/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/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/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12.2</v>
      </c>
      <c r="C32" s="221">
        <v>12.2</v>
      </c>
      <c r="D32" s="221">
        <v>12.2</v>
      </c>
      <c r="E32" s="221">
        <v>12.2</v>
      </c>
      <c r="F32" s="221">
        <v>12.2</v>
      </c>
      <c r="G32" s="221">
        <v>12.2</v>
      </c>
      <c r="H32" s="221">
        <v>12.2</v>
      </c>
      <c r="I32" s="221"/>
      <c r="J32" s="221">
        <v>12.2</v>
      </c>
      <c r="K32" s="221">
        <v>12.2</v>
      </c>
      <c r="L32" s="221">
        <v>12.2</v>
      </c>
      <c r="M32" s="221">
        <v>12.2</v>
      </c>
      <c r="N32" s="221">
        <v>12.2</v>
      </c>
      <c r="O32" s="221">
        <v>12.2</v>
      </c>
      <c r="P32" s="221">
        <v>12.2</v>
      </c>
      <c r="Q32" s="221">
        <v>12.2</v>
      </c>
      <c r="R32" s="221">
        <v>12.2</v>
      </c>
      <c r="S32" s="221">
        <v>12.2</v>
      </c>
      <c r="T32" s="221">
        <v>12.2</v>
      </c>
      <c r="U32" s="221">
        <v>12.2</v>
      </c>
      <c r="V32" s="221">
        <v>12.2</v>
      </c>
      <c r="W32" s="221">
        <v>12.2</v>
      </c>
      <c r="X32" s="221">
        <v>12.2</v>
      </c>
      <c r="Y32" s="221">
        <v>12.2</v>
      </c>
      <c r="Z32" s="221">
        <v>12.2</v>
      </c>
      <c r="AA32" s="221">
        <v>12.2</v>
      </c>
      <c r="AB32" s="221">
        <v>12.2</v>
      </c>
      <c r="AC32" s="221">
        <v>12.2</v>
      </c>
      <c r="AD32" s="221">
        <v>12.2</v>
      </c>
      <c r="AE32" s="221">
        <v>12.2</v>
      </c>
      <c r="AF32" s="221">
        <v>12.2</v>
      </c>
      <c r="AG32" s="230">
        <v>11.88</v>
      </c>
      <c r="AH32" s="226">
        <f t="shared" si="2"/>
        <v>12.2</v>
      </c>
      <c r="AI32" s="227">
        <f t="shared" si="3"/>
        <v>12.2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/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/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9.4</v>
      </c>
      <c r="P34" s="221">
        <v>9.4</v>
      </c>
      <c r="Q34" s="221">
        <v>9.4</v>
      </c>
      <c r="R34" s="221">
        <v>9.4</v>
      </c>
      <c r="S34" s="221">
        <v>9.4</v>
      </c>
      <c r="T34" s="221">
        <v>9.4</v>
      </c>
      <c r="U34" s="221">
        <v>9.4</v>
      </c>
      <c r="V34" s="221">
        <v>9.4</v>
      </c>
      <c r="W34" s="221">
        <v>9.4</v>
      </c>
      <c r="X34" s="221">
        <v>9.4</v>
      </c>
      <c r="Y34" s="221">
        <v>9.4</v>
      </c>
      <c r="Z34" s="221">
        <v>9.4</v>
      </c>
      <c r="AA34" s="221">
        <v>9.4</v>
      </c>
      <c r="AB34" s="221">
        <v>9.4</v>
      </c>
      <c r="AC34" s="221">
        <v>9.4</v>
      </c>
      <c r="AD34" s="221">
        <v>9.4</v>
      </c>
      <c r="AE34" s="221">
        <v>9.4</v>
      </c>
      <c r="AF34" s="221">
        <v>9.4</v>
      </c>
      <c r="AG34" s="235">
        <v>10</v>
      </c>
      <c r="AH34" s="226">
        <f t="shared" si="2"/>
        <v>9.4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/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f>183.6</f>
        <v>183.6</v>
      </c>
      <c r="C37" s="237">
        <v>183.4</v>
      </c>
      <c r="D37" s="237">
        <v>183.7</v>
      </c>
      <c r="E37" s="237">
        <f>102+81.7</f>
        <v>183.7</v>
      </c>
      <c r="F37" s="237">
        <f>102.1+81.4</f>
        <v>183.5</v>
      </c>
      <c r="G37" s="237">
        <f>98.6+81.3</f>
        <v>179.89999999999998</v>
      </c>
      <c r="H37" s="237">
        <f>101.2+81</f>
        <v>182.2</v>
      </c>
      <c r="I37" s="237"/>
      <c r="J37" s="237">
        <f>100.8+76.7</f>
        <v>177.5</v>
      </c>
      <c r="K37" s="237">
        <f>100.6+77.3</f>
        <v>177.89999999999998</v>
      </c>
      <c r="L37" s="237">
        <f>100.4+77.3</f>
        <v>177.7</v>
      </c>
      <c r="M37" s="237">
        <f>100.4+77.3</f>
        <v>177.7</v>
      </c>
      <c r="N37" s="237">
        <f>100.4+77.3</f>
        <v>177.7</v>
      </c>
      <c r="O37" s="237">
        <f>100.4+77.3</f>
        <v>177.7</v>
      </c>
      <c r="P37" s="237">
        <f>101.1+62.3</f>
        <v>163.39999999999998</v>
      </c>
      <c r="Q37" s="237">
        <f>73.7+100.1</f>
        <v>173.8</v>
      </c>
      <c r="R37" s="237">
        <f>79.6+100</f>
        <v>179.6</v>
      </c>
      <c r="S37" s="239">
        <f>82+100.3</f>
        <v>182.3</v>
      </c>
      <c r="T37" s="239">
        <f>82+89.5</f>
        <v>171.5</v>
      </c>
      <c r="U37" s="239">
        <f>81.6+91.8</f>
        <v>173.39999999999998</v>
      </c>
      <c r="V37" s="239">
        <f>81.3+101.7</f>
        <v>183</v>
      </c>
      <c r="W37" s="239">
        <f>78.1+101.7</f>
        <v>179.8</v>
      </c>
      <c r="X37" s="239">
        <f>79.9+100.8</f>
        <v>180.7</v>
      </c>
      <c r="Y37" s="239">
        <f>79.9+100.8</f>
        <v>180.7</v>
      </c>
      <c r="Z37" s="239">
        <f>79.9+100.8</f>
        <v>180.7</v>
      </c>
      <c r="AA37" s="239">
        <v>179</v>
      </c>
      <c r="AB37" s="239">
        <v>179</v>
      </c>
      <c r="AC37" s="239">
        <v>120</v>
      </c>
      <c r="AD37" s="239">
        <v>125</v>
      </c>
      <c r="AE37" s="239">
        <v>125</v>
      </c>
      <c r="AF37" s="239">
        <v>176</v>
      </c>
      <c r="AG37" s="235">
        <v>240</v>
      </c>
      <c r="AH37" s="226">
        <f t="shared" si="2"/>
        <v>183.7</v>
      </c>
      <c r="AI37" s="227">
        <f t="shared" si="3"/>
        <v>120</v>
      </c>
      <c r="AK37" s="228"/>
    </row>
    <row r="38" spans="1:88" ht="15.75" thickBot="1" x14ac:dyDescent="0.3">
      <c r="A38" s="240" t="s">
        <v>46</v>
      </c>
      <c r="B38" s="241">
        <f>SUM(B11:B36)</f>
        <v>825.5</v>
      </c>
      <c r="C38" s="241">
        <f t="shared" ref="C38:AG38" si="4">SUM(C11:C36)</f>
        <v>835.5</v>
      </c>
      <c r="D38" s="241">
        <f t="shared" si="4"/>
        <v>842.80000000000007</v>
      </c>
      <c r="E38" s="241">
        <f t="shared" si="4"/>
        <v>832.80000000000007</v>
      </c>
      <c r="F38" s="241">
        <f t="shared" si="4"/>
        <v>837.80000000000007</v>
      </c>
      <c r="G38" s="241">
        <f t="shared" si="4"/>
        <v>842.80000000000007</v>
      </c>
      <c r="H38" s="241">
        <f t="shared" si="4"/>
        <v>842.80000000000007</v>
      </c>
      <c r="I38" s="241">
        <f t="shared" si="4"/>
        <v>300</v>
      </c>
      <c r="J38" s="241">
        <f t="shared" si="4"/>
        <v>791.8</v>
      </c>
      <c r="K38" s="241">
        <f t="shared" si="4"/>
        <v>797.7</v>
      </c>
      <c r="L38" s="241">
        <f t="shared" si="4"/>
        <v>797.7</v>
      </c>
      <c r="M38" s="241">
        <f t="shared" si="4"/>
        <v>819.7</v>
      </c>
      <c r="N38" s="241">
        <f t="shared" si="4"/>
        <v>852.7</v>
      </c>
      <c r="O38" s="241">
        <f t="shared" si="4"/>
        <v>798.09999999999991</v>
      </c>
      <c r="P38" s="241">
        <f t="shared" si="4"/>
        <v>838.1</v>
      </c>
      <c r="Q38" s="241">
        <f t="shared" si="4"/>
        <v>832.99999999999989</v>
      </c>
      <c r="R38" s="241">
        <f t="shared" si="4"/>
        <v>852.6</v>
      </c>
      <c r="S38" s="241">
        <f t="shared" si="4"/>
        <v>842.59999999999991</v>
      </c>
      <c r="T38" s="241">
        <f t="shared" si="4"/>
        <v>839.59999999999991</v>
      </c>
      <c r="U38" s="241">
        <f t="shared" si="4"/>
        <v>808.19999999999982</v>
      </c>
      <c r="V38" s="241">
        <f t="shared" si="4"/>
        <v>808.19999999999982</v>
      </c>
      <c r="W38" s="241">
        <f t="shared" si="4"/>
        <v>808.19999999999982</v>
      </c>
      <c r="X38" s="241">
        <f t="shared" si="4"/>
        <v>826.09999999999991</v>
      </c>
      <c r="Y38" s="241">
        <f t="shared" si="4"/>
        <v>806.09999999999991</v>
      </c>
      <c r="Z38" s="241">
        <f t="shared" si="4"/>
        <v>806.09999999999991</v>
      </c>
      <c r="AA38" s="241">
        <f t="shared" si="4"/>
        <v>843.5</v>
      </c>
      <c r="AB38" s="241">
        <f>SUM(AB11:AB36)</f>
        <v>833.5</v>
      </c>
      <c r="AC38" s="241">
        <f t="shared" si="4"/>
        <v>833.5</v>
      </c>
      <c r="AD38" s="241">
        <f t="shared" si="4"/>
        <v>840.4</v>
      </c>
      <c r="AE38" s="241">
        <f t="shared" si="4"/>
        <v>817</v>
      </c>
      <c r="AF38" s="241">
        <f t="shared" si="4"/>
        <v>784</v>
      </c>
      <c r="AG38" s="242">
        <f t="shared" si="4"/>
        <v>665.78</v>
      </c>
      <c r="AH38" s="226">
        <f t="shared" si="2"/>
        <v>852.7</v>
      </c>
      <c r="AI38" s="227">
        <f t="shared" si="3"/>
        <v>300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0</v>
      </c>
      <c r="N41" s="247">
        <v>10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0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516</v>
      </c>
      <c r="N42" s="241">
        <f t="shared" si="5"/>
        <v>526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>SUM(AB39:AB41)</f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516</v>
      </c>
      <c r="AK42" s="228"/>
    </row>
    <row r="43" spans="1:88" x14ac:dyDescent="0.25">
      <c r="A43" s="220" t="s">
        <v>51</v>
      </c>
      <c r="B43" s="221">
        <v>143.4</v>
      </c>
      <c r="C43" s="221">
        <v>143.1</v>
      </c>
      <c r="D43" s="221">
        <v>143.4</v>
      </c>
      <c r="E43" s="221">
        <v>143</v>
      </c>
      <c r="F43" s="221">
        <v>73.099999999999994</v>
      </c>
      <c r="G43" s="221">
        <v>72.599999999999994</v>
      </c>
      <c r="H43" s="221">
        <v>72.8</v>
      </c>
      <c r="I43" s="221"/>
      <c r="J43" s="221">
        <v>139.4</v>
      </c>
      <c r="K43" s="221">
        <v>143.1</v>
      </c>
      <c r="L43" s="221">
        <v>140</v>
      </c>
      <c r="M43" s="221">
        <v>143.1</v>
      </c>
      <c r="N43" s="221">
        <v>143.1</v>
      </c>
      <c r="O43" s="221">
        <v>143.1</v>
      </c>
      <c r="P43" s="221">
        <v>143.1</v>
      </c>
      <c r="Q43" s="221">
        <v>143.30000000000001</v>
      </c>
      <c r="R43" s="221">
        <v>143.19999999999999</v>
      </c>
      <c r="S43" s="221">
        <v>143.1</v>
      </c>
      <c r="T43" s="221">
        <v>142.9</v>
      </c>
      <c r="U43" s="221">
        <v>142.9</v>
      </c>
      <c r="V43" s="221">
        <v>142.9</v>
      </c>
      <c r="W43" s="221">
        <v>142.9</v>
      </c>
      <c r="X43" s="221">
        <v>142.9</v>
      </c>
      <c r="Y43" s="221">
        <v>142.9</v>
      </c>
      <c r="Z43" s="221">
        <v>0</v>
      </c>
      <c r="AA43" s="221">
        <v>143.6</v>
      </c>
      <c r="AB43" s="221">
        <v>143.5</v>
      </c>
      <c r="AC43" s="221">
        <v>143.5</v>
      </c>
      <c r="AD43" s="221">
        <v>143.5</v>
      </c>
      <c r="AE43" s="221">
        <v>143.5</v>
      </c>
      <c r="AF43" s="221">
        <v>143.5</v>
      </c>
      <c r="AG43" s="230">
        <v>144</v>
      </c>
      <c r="AH43" s="226">
        <f t="shared" si="2"/>
        <v>143.6</v>
      </c>
      <c r="AI43" s="227">
        <f t="shared" si="3"/>
        <v>0</v>
      </c>
      <c r="AK43" s="228"/>
    </row>
    <row r="44" spans="1:88" x14ac:dyDescent="0.25">
      <c r="A44" s="234" t="s">
        <v>52</v>
      </c>
      <c r="B44" s="245">
        <v>73.3</v>
      </c>
      <c r="C44" s="245">
        <v>73.3</v>
      </c>
      <c r="D44" s="245">
        <v>72.5</v>
      </c>
      <c r="E44" s="245">
        <v>73.099999999999994</v>
      </c>
      <c r="F44" s="245">
        <v>72.900000000000006</v>
      </c>
      <c r="G44" s="245">
        <v>71.900000000000006</v>
      </c>
      <c r="H44" s="245">
        <v>72</v>
      </c>
      <c r="I44" s="245"/>
      <c r="J44" s="245">
        <v>51.2</v>
      </c>
      <c r="K44" s="245">
        <v>73.099999999999994</v>
      </c>
      <c r="L44" s="245">
        <v>73.599999999999994</v>
      </c>
      <c r="M44" s="245">
        <v>73.599999999999994</v>
      </c>
      <c r="N44" s="245">
        <v>73.599999999999994</v>
      </c>
      <c r="O44" s="245">
        <v>73.599999999999994</v>
      </c>
      <c r="P44" s="245">
        <v>73.599999999999994</v>
      </c>
      <c r="Q44" s="221">
        <v>73.3</v>
      </c>
      <c r="R44" s="221">
        <v>73.400000000000006</v>
      </c>
      <c r="S44" s="245">
        <v>73.2</v>
      </c>
      <c r="T44" s="245">
        <v>35.9</v>
      </c>
      <c r="U44" s="245">
        <v>71.099999999999994</v>
      </c>
      <c r="V44" s="245">
        <v>71.099999999999994</v>
      </c>
      <c r="W44" s="245">
        <v>71.099999999999994</v>
      </c>
      <c r="X44" s="245">
        <v>71.099999999999994</v>
      </c>
      <c r="Y44" s="245">
        <v>71.099999999999994</v>
      </c>
      <c r="Z44" s="245">
        <v>72.2</v>
      </c>
      <c r="AA44" s="245">
        <v>72.3</v>
      </c>
      <c r="AB44" s="245">
        <v>72.3</v>
      </c>
      <c r="AC44" s="245">
        <v>72.3</v>
      </c>
      <c r="AD44" s="245">
        <v>72.3</v>
      </c>
      <c r="AE44" s="245">
        <v>72.3</v>
      </c>
      <c r="AF44" s="245">
        <v>72.3</v>
      </c>
      <c r="AG44" s="235">
        <v>70</v>
      </c>
      <c r="AH44" s="226">
        <f t="shared" si="2"/>
        <v>73.599999999999994</v>
      </c>
      <c r="AI44" s="227">
        <f t="shared" si="3"/>
        <v>35.9</v>
      </c>
      <c r="AK44" s="228"/>
    </row>
    <row r="45" spans="1:88" x14ac:dyDescent="0.25">
      <c r="A45" s="234" t="s">
        <v>53</v>
      </c>
      <c r="B45" s="245">
        <v>63</v>
      </c>
      <c r="C45" s="245">
        <v>63.4</v>
      </c>
      <c r="D45" s="245">
        <v>64.2</v>
      </c>
      <c r="E45" s="245">
        <v>64.5</v>
      </c>
      <c r="F45" s="245">
        <v>63</v>
      </c>
      <c r="G45" s="245">
        <v>63.5</v>
      </c>
      <c r="H45" s="245">
        <v>63.5</v>
      </c>
      <c r="I45" s="245"/>
      <c r="J45" s="245">
        <v>46.3</v>
      </c>
      <c r="K45" s="245">
        <v>63.7</v>
      </c>
      <c r="L45" s="245">
        <v>63.7</v>
      </c>
      <c r="M45" s="245">
        <v>64</v>
      </c>
      <c r="N45" s="245">
        <v>64</v>
      </c>
      <c r="O45" s="245">
        <v>64</v>
      </c>
      <c r="P45" s="245">
        <v>64</v>
      </c>
      <c r="Q45" s="221">
        <v>64.8</v>
      </c>
      <c r="R45" s="221">
        <v>64.599999999999994</v>
      </c>
      <c r="S45" s="245">
        <v>64.400000000000006</v>
      </c>
      <c r="T45" s="245">
        <v>64.400000000000006</v>
      </c>
      <c r="U45" s="245">
        <v>64.400000000000006</v>
      </c>
      <c r="V45" s="245">
        <v>64.400000000000006</v>
      </c>
      <c r="W45" s="245">
        <v>64.400000000000006</v>
      </c>
      <c r="X45" s="245">
        <v>64.400000000000006</v>
      </c>
      <c r="Y45" s="245">
        <v>64.400000000000006</v>
      </c>
      <c r="Z45" s="245">
        <v>23.3</v>
      </c>
      <c r="AA45" s="245">
        <v>46</v>
      </c>
      <c r="AB45" s="245">
        <v>64</v>
      </c>
      <c r="AC45" s="245">
        <v>64</v>
      </c>
      <c r="AD45" s="245">
        <v>64.900000000000006</v>
      </c>
      <c r="AE45" s="245">
        <v>64.900000000000006</v>
      </c>
      <c r="AF45" s="245">
        <v>64.900000000000006</v>
      </c>
      <c r="AG45" s="235">
        <v>69</v>
      </c>
      <c r="AH45" s="226">
        <f t="shared" si="2"/>
        <v>64.900000000000006</v>
      </c>
      <c r="AI45" s="227">
        <f t="shared" si="3"/>
        <v>23.3</v>
      </c>
      <c r="AK45" s="228"/>
    </row>
    <row r="46" spans="1:88" x14ac:dyDescent="0.25">
      <c r="A46" s="234" t="s">
        <v>54</v>
      </c>
      <c r="B46" s="237">
        <v>61.4</v>
      </c>
      <c r="C46" s="237">
        <v>61.4</v>
      </c>
      <c r="D46" s="237">
        <v>61.4</v>
      </c>
      <c r="E46" s="237">
        <v>61.4</v>
      </c>
      <c r="F46" s="237">
        <v>61.4</v>
      </c>
      <c r="G46" s="237">
        <v>61.4</v>
      </c>
      <c r="H46" s="237">
        <v>60</v>
      </c>
      <c r="I46" s="237"/>
      <c r="J46" s="237">
        <v>60</v>
      </c>
      <c r="K46" s="237">
        <v>60</v>
      </c>
      <c r="L46" s="237">
        <v>60</v>
      </c>
      <c r="M46" s="237">
        <v>60</v>
      </c>
      <c r="N46" s="237">
        <v>60</v>
      </c>
      <c r="O46" s="237">
        <v>60</v>
      </c>
      <c r="P46" s="237">
        <v>60</v>
      </c>
      <c r="Q46" s="221">
        <v>0</v>
      </c>
      <c r="R46" s="221">
        <v>0</v>
      </c>
      <c r="S46" s="221">
        <v>61.2</v>
      </c>
      <c r="T46" s="221">
        <v>61.2</v>
      </c>
      <c r="U46" s="221">
        <v>61.2</v>
      </c>
      <c r="V46" s="221">
        <v>61.2</v>
      </c>
      <c r="W46" s="221">
        <v>61.2</v>
      </c>
      <c r="X46" s="221">
        <v>61.2</v>
      </c>
      <c r="Y46" s="221">
        <v>61.2</v>
      </c>
      <c r="Z46" s="245">
        <v>61.5</v>
      </c>
      <c r="AA46" s="245">
        <v>61.5</v>
      </c>
      <c r="AB46" s="245">
        <v>61.5</v>
      </c>
      <c r="AC46" s="245">
        <v>61.5</v>
      </c>
      <c r="AD46" s="245">
        <v>61.5</v>
      </c>
      <c r="AE46" s="245">
        <v>61.5</v>
      </c>
      <c r="AF46" s="245">
        <v>61.5</v>
      </c>
      <c r="AG46" s="235">
        <v>60</v>
      </c>
      <c r="AH46" s="226">
        <f t="shared" si="2"/>
        <v>61.5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28.4</v>
      </c>
      <c r="C47" s="237">
        <v>28.4</v>
      </c>
      <c r="D47" s="237">
        <v>28.4</v>
      </c>
      <c r="E47" s="237">
        <v>28.4</v>
      </c>
      <c r="F47" s="237">
        <v>28.4</v>
      </c>
      <c r="G47" s="237">
        <v>28.4</v>
      </c>
      <c r="H47" s="237">
        <v>28.4</v>
      </c>
      <c r="I47" s="237"/>
      <c r="J47" s="237">
        <v>28.4</v>
      </c>
      <c r="K47" s="237">
        <v>15</v>
      </c>
      <c r="L47" s="237">
        <v>15</v>
      </c>
      <c r="M47" s="237">
        <v>28.1</v>
      </c>
      <c r="N47" s="237">
        <v>28.1</v>
      </c>
      <c r="O47" s="237">
        <v>28.1</v>
      </c>
      <c r="P47" s="237">
        <v>28.1</v>
      </c>
      <c r="Q47" s="221">
        <v>28.4</v>
      </c>
      <c r="R47" s="221">
        <v>28.4</v>
      </c>
      <c r="S47" s="221">
        <v>28.4</v>
      </c>
      <c r="T47" s="221">
        <v>28.4</v>
      </c>
      <c r="U47" s="221">
        <v>28.4</v>
      </c>
      <c r="V47" s="221">
        <v>28.4</v>
      </c>
      <c r="W47" s="221">
        <v>28.4</v>
      </c>
      <c r="X47" s="221">
        <v>28.4</v>
      </c>
      <c r="Y47" s="221">
        <v>28.4</v>
      </c>
      <c r="Z47" s="245">
        <v>28.6</v>
      </c>
      <c r="AA47" s="245">
        <v>28.6</v>
      </c>
      <c r="AB47" s="245">
        <v>28.6</v>
      </c>
      <c r="AC47" s="245">
        <v>28.6</v>
      </c>
      <c r="AD47" s="245">
        <v>28.6</v>
      </c>
      <c r="AE47" s="245">
        <v>28.6</v>
      </c>
      <c r="AF47" s="245">
        <v>28.6</v>
      </c>
      <c r="AG47" s="235">
        <v>30</v>
      </c>
      <c r="AH47" s="226">
        <f t="shared" si="2"/>
        <v>28.6</v>
      </c>
      <c r="AI47" s="227">
        <f t="shared" si="3"/>
        <v>15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/>
      <c r="J48" s="245">
        <v>0</v>
      </c>
      <c r="K48" s="237">
        <v>0</v>
      </c>
      <c r="L48" s="237">
        <v>0</v>
      </c>
      <c r="M48" s="237">
        <v>8</v>
      </c>
      <c r="N48" s="237">
        <v>8</v>
      </c>
      <c r="O48" s="237">
        <v>8</v>
      </c>
      <c r="P48" s="237">
        <v>8</v>
      </c>
      <c r="Q48" s="221">
        <v>10</v>
      </c>
      <c r="R48" s="221">
        <v>10</v>
      </c>
      <c r="S48" s="221">
        <v>10</v>
      </c>
      <c r="T48" s="221">
        <v>10</v>
      </c>
      <c r="U48" s="221">
        <v>8</v>
      </c>
      <c r="V48" s="221">
        <v>8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</v>
      </c>
      <c r="C49" s="245">
        <v>17.2</v>
      </c>
      <c r="D49" s="245">
        <v>17</v>
      </c>
      <c r="E49" s="245">
        <v>17</v>
      </c>
      <c r="F49" s="245">
        <v>17</v>
      </c>
      <c r="G49" s="245">
        <v>17</v>
      </c>
      <c r="H49" s="245">
        <v>17</v>
      </c>
      <c r="I49" s="245"/>
      <c r="J49" s="245">
        <v>17</v>
      </c>
      <c r="K49" s="245">
        <v>17.2</v>
      </c>
      <c r="L49" s="245">
        <v>17.2</v>
      </c>
      <c r="M49" s="245">
        <v>17.2</v>
      </c>
      <c r="N49" s="245">
        <v>17.2</v>
      </c>
      <c r="O49" s="245">
        <v>17.2</v>
      </c>
      <c r="P49" s="245">
        <v>17.2</v>
      </c>
      <c r="Q49" s="221">
        <v>17.2</v>
      </c>
      <c r="R49" s="221">
        <v>15.7</v>
      </c>
      <c r="S49" s="221">
        <v>15.7</v>
      </c>
      <c r="T49" s="221">
        <v>15.7</v>
      </c>
      <c r="U49" s="221">
        <v>17.100000000000001</v>
      </c>
      <c r="V49" s="221">
        <v>17.100000000000001</v>
      </c>
      <c r="W49" s="221">
        <v>17.100000000000001</v>
      </c>
      <c r="X49" s="221">
        <v>17.100000000000001</v>
      </c>
      <c r="Y49" s="221">
        <v>17.100000000000001</v>
      </c>
      <c r="Z49" s="221">
        <v>17.399999999999999</v>
      </c>
      <c r="AA49" s="221">
        <v>17.399999999999999</v>
      </c>
      <c r="AB49" s="221">
        <v>17.399999999999999</v>
      </c>
      <c r="AC49" s="221">
        <v>17.399999999999999</v>
      </c>
      <c r="AD49" s="221">
        <v>17.399999999999999</v>
      </c>
      <c r="AE49" s="221">
        <v>17.399999999999999</v>
      </c>
      <c r="AF49" s="221">
        <v>17.399999999999999</v>
      </c>
      <c r="AG49" s="235">
        <v>24</v>
      </c>
      <c r="AH49" s="226">
        <f t="shared" si="2"/>
        <v>17.399999999999999</v>
      </c>
      <c r="AI49" s="227">
        <f t="shared" si="3"/>
        <v>15.7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/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12.8</v>
      </c>
      <c r="C51" s="245">
        <v>12.8</v>
      </c>
      <c r="D51" s="245">
        <v>13.2</v>
      </c>
      <c r="E51" s="245">
        <v>13.2</v>
      </c>
      <c r="F51" s="245">
        <v>13.2</v>
      </c>
      <c r="G51" s="245">
        <v>13.2</v>
      </c>
      <c r="H51" s="245">
        <v>13.2</v>
      </c>
      <c r="I51" s="245"/>
      <c r="J51" s="245">
        <v>13.2</v>
      </c>
      <c r="K51" s="245">
        <v>12.7</v>
      </c>
      <c r="L51" s="245">
        <v>12.7</v>
      </c>
      <c r="M51" s="245">
        <v>12.7</v>
      </c>
      <c r="N51" s="245">
        <v>12.7</v>
      </c>
      <c r="O51" s="245">
        <v>12.7</v>
      </c>
      <c r="P51" s="245">
        <v>12.7</v>
      </c>
      <c r="Q51" s="221">
        <v>13</v>
      </c>
      <c r="R51" s="221">
        <v>11.3</v>
      </c>
      <c r="S51" s="221">
        <v>11.3</v>
      </c>
      <c r="T51" s="221">
        <v>11.3</v>
      </c>
      <c r="U51" s="221">
        <v>13.8</v>
      </c>
      <c r="V51" s="221">
        <v>13.8</v>
      </c>
      <c r="W51" s="221">
        <v>13.8</v>
      </c>
      <c r="X51" s="221">
        <v>13.8</v>
      </c>
      <c r="Y51" s="221">
        <v>13.8</v>
      </c>
      <c r="Z51" s="221">
        <v>13</v>
      </c>
      <c r="AA51" s="221">
        <v>13</v>
      </c>
      <c r="AB51" s="221">
        <v>13</v>
      </c>
      <c r="AC51" s="221">
        <v>13</v>
      </c>
      <c r="AD51" s="221">
        <v>13</v>
      </c>
      <c r="AE51" s="221">
        <v>13</v>
      </c>
      <c r="AF51" s="221">
        <v>13</v>
      </c>
      <c r="AG51" s="235">
        <v>14.1</v>
      </c>
      <c r="AH51" s="226">
        <f t="shared" si="2"/>
        <v>13.8</v>
      </c>
      <c r="AI51" s="227">
        <f t="shared" si="3"/>
        <v>11.3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6.8</v>
      </c>
      <c r="D52" s="245">
        <v>9.9</v>
      </c>
      <c r="E52" s="245">
        <v>3</v>
      </c>
      <c r="F52" s="245">
        <v>6.9</v>
      </c>
      <c r="G52" s="245">
        <v>6.9</v>
      </c>
      <c r="H52" s="245">
        <v>6.9</v>
      </c>
      <c r="I52" s="245"/>
      <c r="J52" s="245">
        <v>11.8</v>
      </c>
      <c r="K52" s="245">
        <v>13.8</v>
      </c>
      <c r="L52" s="245">
        <v>13.8</v>
      </c>
      <c r="M52" s="245">
        <v>13.8</v>
      </c>
      <c r="N52" s="245">
        <v>13.8</v>
      </c>
      <c r="O52" s="245">
        <v>0</v>
      </c>
      <c r="P52" s="245">
        <v>14</v>
      </c>
      <c r="Q52" s="221">
        <v>14</v>
      </c>
      <c r="R52" s="221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0</v>
      </c>
      <c r="AA52" s="221">
        <v>10</v>
      </c>
      <c r="AB52" s="221">
        <v>10</v>
      </c>
      <c r="AC52" s="221">
        <v>10</v>
      </c>
      <c r="AD52" s="221">
        <v>10</v>
      </c>
      <c r="AE52" s="221">
        <v>10</v>
      </c>
      <c r="AF52" s="221">
        <v>10</v>
      </c>
      <c r="AG52" s="235">
        <v>14</v>
      </c>
      <c r="AH52" s="226">
        <f t="shared" si="2"/>
        <v>14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/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/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436.34</v>
      </c>
      <c r="C56" s="241">
        <f t="shared" ref="C56:AG56" si="6">SUM(C43:C55)</f>
        <v>429.13999999999993</v>
      </c>
      <c r="D56" s="241">
        <f t="shared" si="6"/>
        <v>432.73999999999995</v>
      </c>
      <c r="E56" s="241">
        <f t="shared" si="6"/>
        <v>426.34</v>
      </c>
      <c r="F56" s="241">
        <f t="shared" si="6"/>
        <v>358.63999999999993</v>
      </c>
      <c r="G56" s="241">
        <f t="shared" si="6"/>
        <v>357.63999999999993</v>
      </c>
      <c r="H56" s="241">
        <f t="shared" si="6"/>
        <v>356.53999999999996</v>
      </c>
      <c r="I56" s="241">
        <f t="shared" si="6"/>
        <v>3.54</v>
      </c>
      <c r="J56" s="241">
        <f t="shared" si="6"/>
        <v>390.04</v>
      </c>
      <c r="K56" s="241">
        <f t="shared" si="6"/>
        <v>421.34</v>
      </c>
      <c r="L56" s="241">
        <f t="shared" si="6"/>
        <v>418.74</v>
      </c>
      <c r="M56" s="241">
        <f t="shared" si="6"/>
        <v>443.24</v>
      </c>
      <c r="N56" s="241">
        <f t="shared" si="6"/>
        <v>443.24</v>
      </c>
      <c r="O56" s="241">
        <f t="shared" si="6"/>
        <v>429.44</v>
      </c>
      <c r="P56" s="241">
        <f t="shared" si="6"/>
        <v>443.44</v>
      </c>
      <c r="Q56" s="241">
        <f t="shared" si="6"/>
        <v>386.74</v>
      </c>
      <c r="R56" s="241">
        <f t="shared" si="6"/>
        <v>383.34</v>
      </c>
      <c r="S56" s="241">
        <f t="shared" si="6"/>
        <v>444.04</v>
      </c>
      <c r="T56" s="241">
        <f t="shared" si="6"/>
        <v>406.54</v>
      </c>
      <c r="U56" s="241">
        <f t="shared" si="6"/>
        <v>443.64</v>
      </c>
      <c r="V56" s="241">
        <f t="shared" si="6"/>
        <v>443.64</v>
      </c>
      <c r="W56" s="241">
        <f t="shared" si="6"/>
        <v>435.64</v>
      </c>
      <c r="X56" s="241">
        <f t="shared" si="6"/>
        <v>435.64</v>
      </c>
      <c r="Y56" s="241">
        <f t="shared" si="6"/>
        <v>435.64</v>
      </c>
      <c r="Z56" s="241">
        <f t="shared" si="6"/>
        <v>238.73999999999998</v>
      </c>
      <c r="AA56" s="241">
        <f t="shared" si="6"/>
        <v>415.14</v>
      </c>
      <c r="AB56" s="241">
        <f t="shared" si="6"/>
        <v>433.04</v>
      </c>
      <c r="AC56" s="241">
        <f t="shared" si="6"/>
        <v>433.04</v>
      </c>
      <c r="AD56" s="241">
        <f t="shared" si="6"/>
        <v>433.94000000000005</v>
      </c>
      <c r="AE56" s="241">
        <f t="shared" si="6"/>
        <v>433.94000000000005</v>
      </c>
      <c r="AF56" s="241">
        <f t="shared" si="6"/>
        <v>433.94000000000005</v>
      </c>
      <c r="AG56" s="242">
        <f t="shared" si="6"/>
        <v>489.91</v>
      </c>
      <c r="AH56" s="226">
        <f t="shared" si="2"/>
        <v>444.04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/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/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/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71.2</v>
      </c>
      <c r="C61" s="221">
        <v>30.4</v>
      </c>
      <c r="D61" s="221">
        <v>29.1</v>
      </c>
      <c r="E61" s="221">
        <v>30</v>
      </c>
      <c r="F61" s="221">
        <v>62.9</v>
      </c>
      <c r="G61" s="221">
        <v>53.4</v>
      </c>
      <c r="H61" s="221">
        <v>64.3</v>
      </c>
      <c r="I61" s="221"/>
      <c r="J61" s="221">
        <v>15</v>
      </c>
      <c r="K61" s="221">
        <v>8</v>
      </c>
      <c r="L61" s="221">
        <v>7</v>
      </c>
      <c r="M61" s="221">
        <v>12.3</v>
      </c>
      <c r="N61" s="221">
        <v>50.8</v>
      </c>
      <c r="O61" s="221">
        <v>18.399999999999999</v>
      </c>
      <c r="P61" s="221">
        <v>43</v>
      </c>
      <c r="Q61" s="221">
        <v>52</v>
      </c>
      <c r="R61" s="221">
        <v>60.7</v>
      </c>
      <c r="S61" s="221">
        <v>53.7</v>
      </c>
      <c r="T61" s="221">
        <v>44.8</v>
      </c>
      <c r="U61" s="221">
        <v>6.7</v>
      </c>
      <c r="V61" s="221">
        <v>0</v>
      </c>
      <c r="W61" s="221">
        <v>0</v>
      </c>
      <c r="X61" s="221">
        <v>0</v>
      </c>
      <c r="Y61" s="221">
        <v>0</v>
      </c>
      <c r="Z61" s="221">
        <v>0</v>
      </c>
      <c r="AA61" s="221">
        <v>68</v>
      </c>
      <c r="AB61" s="221">
        <v>47.8</v>
      </c>
      <c r="AC61" s="221">
        <v>47</v>
      </c>
      <c r="AD61" s="221">
        <v>47</v>
      </c>
      <c r="AE61" s="221">
        <v>40</v>
      </c>
      <c r="AF61" s="221">
        <v>15</v>
      </c>
      <c r="AG61" s="230"/>
      <c r="AH61" s="226">
        <f t="shared" si="2"/>
        <v>71.2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/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-340.5</v>
      </c>
      <c r="C63" s="245">
        <v>-346.5</v>
      </c>
      <c r="D63" s="245">
        <v>-367.6</v>
      </c>
      <c r="E63" s="245">
        <v>-370</v>
      </c>
      <c r="F63" s="245">
        <v>-355</v>
      </c>
      <c r="G63" s="245">
        <v>-360</v>
      </c>
      <c r="H63" s="245">
        <v>-390</v>
      </c>
      <c r="I63" s="245"/>
      <c r="J63" s="245">
        <v>-430</v>
      </c>
      <c r="K63" s="245">
        <v>400</v>
      </c>
      <c r="L63" s="245">
        <v>-367</v>
      </c>
      <c r="M63" s="245">
        <v>-325</v>
      </c>
      <c r="N63" s="245">
        <v>-369</v>
      </c>
      <c r="O63" s="245">
        <v>-306.2</v>
      </c>
      <c r="P63" s="245">
        <v>-378</v>
      </c>
      <c r="Q63" s="245">
        <v>-375</v>
      </c>
      <c r="R63" s="245">
        <v>-368</v>
      </c>
      <c r="S63" s="245">
        <v>-390</v>
      </c>
      <c r="T63" s="245">
        <v>-420</v>
      </c>
      <c r="U63" s="245">
        <v>-410</v>
      </c>
      <c r="V63" s="245">
        <v>-388.7</v>
      </c>
      <c r="W63" s="245">
        <v>-423.4</v>
      </c>
      <c r="X63" s="245">
        <v>-405</v>
      </c>
      <c r="Y63" s="245">
        <v>-327</v>
      </c>
      <c r="Z63" s="245">
        <v>-352</v>
      </c>
      <c r="AA63" s="245">
        <v>-309</v>
      </c>
      <c r="AB63" s="245">
        <v>-309</v>
      </c>
      <c r="AC63" s="245">
        <v>-318</v>
      </c>
      <c r="AD63" s="245">
        <v>-335</v>
      </c>
      <c r="AE63" s="245">
        <v>-375</v>
      </c>
      <c r="AF63" s="245">
        <v>-390</v>
      </c>
      <c r="AG63" s="255"/>
      <c r="AH63" s="226">
        <f t="shared" si="2"/>
        <v>400</v>
      </c>
      <c r="AI63" s="227">
        <f t="shared" si="3"/>
        <v>-430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/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/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6</v>
      </c>
      <c r="C66" s="257">
        <v>6</v>
      </c>
      <c r="D66" s="257">
        <v>6</v>
      </c>
      <c r="E66" s="257">
        <v>6</v>
      </c>
      <c r="F66" s="257">
        <v>6</v>
      </c>
      <c r="G66" s="257">
        <v>6</v>
      </c>
      <c r="H66" s="257">
        <v>0</v>
      </c>
      <c r="I66" s="257"/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8</v>
      </c>
      <c r="AB66" s="257">
        <v>5</v>
      </c>
      <c r="AC66" s="257">
        <v>5</v>
      </c>
      <c r="AD66" s="257">
        <v>5</v>
      </c>
      <c r="AE66" s="257">
        <v>5</v>
      </c>
      <c r="AF66" s="257">
        <v>5</v>
      </c>
      <c r="AG66" s="255"/>
      <c r="AH66" s="226">
        <f t="shared" si="2"/>
        <v>8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/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4</v>
      </c>
      <c r="C68" s="256">
        <v>4</v>
      </c>
      <c r="D68" s="256">
        <v>4</v>
      </c>
      <c r="E68" s="256">
        <v>4</v>
      </c>
      <c r="F68" s="256">
        <v>4</v>
      </c>
      <c r="G68" s="256">
        <v>4</v>
      </c>
      <c r="H68" s="256">
        <v>0</v>
      </c>
      <c r="I68" s="256"/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4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/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/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/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81.2</v>
      </c>
      <c r="C72" s="241">
        <f t="shared" ref="C72:L72" si="8">SUMIF(C61:C71,"&gt;0")</f>
        <v>40.4</v>
      </c>
      <c r="D72" s="241">
        <f t="shared" si="8"/>
        <v>39.1</v>
      </c>
      <c r="E72" s="241">
        <f t="shared" si="8"/>
        <v>40</v>
      </c>
      <c r="F72" s="241">
        <f t="shared" si="8"/>
        <v>72.900000000000006</v>
      </c>
      <c r="G72" s="241">
        <f t="shared" si="8"/>
        <v>63.4</v>
      </c>
      <c r="H72" s="241">
        <f t="shared" si="8"/>
        <v>64.3</v>
      </c>
      <c r="I72" s="241">
        <f t="shared" si="8"/>
        <v>0</v>
      </c>
      <c r="J72" s="241">
        <f t="shared" si="8"/>
        <v>15</v>
      </c>
      <c r="K72" s="241">
        <f t="shared" si="8"/>
        <v>408</v>
      </c>
      <c r="L72" s="241">
        <f t="shared" si="8"/>
        <v>7</v>
      </c>
      <c r="M72" s="241">
        <f>SUMIF(M61:M71,"&gt;0")</f>
        <v>12.3</v>
      </c>
      <c r="N72" s="241">
        <f t="shared" ref="N72:AF72" si="9">SUMIF(N61:N71,"&gt;0")</f>
        <v>50.8</v>
      </c>
      <c r="O72" s="241">
        <f t="shared" si="9"/>
        <v>18.399999999999999</v>
      </c>
      <c r="P72" s="241">
        <f t="shared" si="9"/>
        <v>43</v>
      </c>
      <c r="Q72" s="241">
        <f t="shared" si="9"/>
        <v>52</v>
      </c>
      <c r="R72" s="241">
        <f t="shared" si="9"/>
        <v>60.7</v>
      </c>
      <c r="S72" s="241">
        <f t="shared" si="9"/>
        <v>53.7</v>
      </c>
      <c r="T72" s="241">
        <f t="shared" si="9"/>
        <v>44.8</v>
      </c>
      <c r="U72" s="241">
        <f t="shared" si="9"/>
        <v>6.7</v>
      </c>
      <c r="V72" s="241">
        <f t="shared" si="9"/>
        <v>0</v>
      </c>
      <c r="W72" s="241">
        <f t="shared" si="9"/>
        <v>0</v>
      </c>
      <c r="X72" s="241">
        <f t="shared" si="9"/>
        <v>0</v>
      </c>
      <c r="Y72" s="241">
        <f t="shared" si="9"/>
        <v>0</v>
      </c>
      <c r="Z72" s="241">
        <f t="shared" si="9"/>
        <v>0</v>
      </c>
      <c r="AA72" s="241">
        <f t="shared" si="9"/>
        <v>76</v>
      </c>
      <c r="AB72" s="241">
        <f t="shared" si="9"/>
        <v>52.8</v>
      </c>
      <c r="AC72" s="241">
        <f t="shared" si="9"/>
        <v>52</v>
      </c>
      <c r="AD72" s="241">
        <f t="shared" si="9"/>
        <v>52</v>
      </c>
      <c r="AE72" s="241">
        <f t="shared" si="9"/>
        <v>45</v>
      </c>
      <c r="AF72" s="241">
        <f t="shared" si="9"/>
        <v>20</v>
      </c>
      <c r="AG72" s="261">
        <f>SUM(AG61:AG71)</f>
        <v>0</v>
      </c>
      <c r="AH72" s="226">
        <f t="shared" si="2"/>
        <v>408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/>
      <c r="J73" s="256">
        <v>0</v>
      </c>
      <c r="K73" s="256"/>
      <c r="L73" s="256"/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/>
      <c r="J74" s="257">
        <v>0</v>
      </c>
      <c r="K74" s="257"/>
      <c r="L74" s="257"/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/>
      <c r="J75" s="259">
        <v>0</v>
      </c>
      <c r="K75" s="259"/>
      <c r="L75" s="259"/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1881.04</v>
      </c>
      <c r="C77" s="263">
        <f t="shared" ref="C77:AF77" si="10">C38+C42+C60+C56+C72+C76</f>
        <v>1843.04</v>
      </c>
      <c r="D77" s="263">
        <f t="shared" si="10"/>
        <v>1852.64</v>
      </c>
      <c r="E77" s="263">
        <f t="shared" si="10"/>
        <v>1837.14</v>
      </c>
      <c r="F77" s="263">
        <f t="shared" si="10"/>
        <v>1807.3400000000001</v>
      </c>
      <c r="G77" s="263">
        <f t="shared" si="10"/>
        <v>1801.8400000000001</v>
      </c>
      <c r="H77" s="263">
        <f t="shared" si="10"/>
        <v>1801.64</v>
      </c>
      <c r="I77" s="263">
        <f t="shared" si="10"/>
        <v>841.54</v>
      </c>
      <c r="J77" s="263">
        <f t="shared" si="10"/>
        <v>1734.84</v>
      </c>
      <c r="K77" s="263">
        <f t="shared" si="10"/>
        <v>2165.04</v>
      </c>
      <c r="L77" s="263">
        <f t="shared" si="10"/>
        <v>1761.44</v>
      </c>
      <c r="M77" s="263">
        <f t="shared" si="10"/>
        <v>1791.24</v>
      </c>
      <c r="N77" s="263">
        <f t="shared" si="10"/>
        <v>1872.74</v>
      </c>
      <c r="O77" s="263">
        <f t="shared" si="10"/>
        <v>1783.94</v>
      </c>
      <c r="P77" s="263">
        <f t="shared" si="10"/>
        <v>1862.54</v>
      </c>
      <c r="Q77" s="263">
        <f t="shared" si="10"/>
        <v>1809.74</v>
      </c>
      <c r="R77" s="263">
        <f t="shared" si="10"/>
        <v>1834.6399999999999</v>
      </c>
      <c r="S77" s="263">
        <f t="shared" si="10"/>
        <v>1878.34</v>
      </c>
      <c r="T77" s="263">
        <f t="shared" si="10"/>
        <v>1828.9399999999998</v>
      </c>
      <c r="U77" s="263">
        <f t="shared" si="10"/>
        <v>1796.5399999999997</v>
      </c>
      <c r="V77" s="263">
        <f t="shared" si="10"/>
        <v>1789.8399999999997</v>
      </c>
      <c r="W77" s="263">
        <f t="shared" si="10"/>
        <v>1781.8399999999997</v>
      </c>
      <c r="X77" s="263">
        <f t="shared" si="10"/>
        <v>1799.7399999999998</v>
      </c>
      <c r="Y77" s="263">
        <f t="shared" si="10"/>
        <v>1779.7399999999998</v>
      </c>
      <c r="Z77" s="263">
        <f t="shared" si="10"/>
        <v>1582.84</v>
      </c>
      <c r="AA77" s="263">
        <f t="shared" si="10"/>
        <v>1872.6399999999999</v>
      </c>
      <c r="AB77" s="263">
        <f>AB38+AB42+AB60+AB56+AB72+AB76</f>
        <v>1857.34</v>
      </c>
      <c r="AC77" s="263">
        <f t="shared" si="10"/>
        <v>1856.54</v>
      </c>
      <c r="AD77" s="263">
        <f t="shared" si="10"/>
        <v>1864.3400000000001</v>
      </c>
      <c r="AE77" s="263">
        <f t="shared" si="10"/>
        <v>1833.94</v>
      </c>
      <c r="AF77" s="263">
        <f t="shared" si="10"/>
        <v>1775.94</v>
      </c>
      <c r="AG77" s="242">
        <f>AG38+AG42+AG60+AG56+AG72+AG76</f>
        <v>1855.1900000000003</v>
      </c>
      <c r="AH77" s="226">
        <f t="shared" si="2"/>
        <v>2165.04</v>
      </c>
      <c r="AI77" s="227">
        <f t="shared" si="3"/>
        <v>841.54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1881.04</v>
      </c>
      <c r="C79" s="263">
        <f t="shared" ref="C79:AF79" si="11">C77+C78</f>
        <v>1843.04</v>
      </c>
      <c r="D79" s="263">
        <f t="shared" si="11"/>
        <v>1852.64</v>
      </c>
      <c r="E79" s="263">
        <f t="shared" si="11"/>
        <v>1837.14</v>
      </c>
      <c r="F79" s="263">
        <f t="shared" si="11"/>
        <v>1807.3400000000001</v>
      </c>
      <c r="G79" s="263">
        <f t="shared" si="11"/>
        <v>1801.8400000000001</v>
      </c>
      <c r="H79" s="263">
        <f t="shared" si="11"/>
        <v>1801.64</v>
      </c>
      <c r="I79" s="263">
        <f t="shared" si="11"/>
        <v>841.54</v>
      </c>
      <c r="J79" s="263">
        <f t="shared" si="11"/>
        <v>1734.84</v>
      </c>
      <c r="K79" s="263">
        <f t="shared" si="11"/>
        <v>2165.04</v>
      </c>
      <c r="L79" s="263">
        <f t="shared" si="11"/>
        <v>1761.44</v>
      </c>
      <c r="M79" s="263">
        <f t="shared" si="11"/>
        <v>1791.24</v>
      </c>
      <c r="N79" s="263">
        <f t="shared" si="11"/>
        <v>1872.74</v>
      </c>
      <c r="O79" s="263">
        <f t="shared" si="11"/>
        <v>1783.94</v>
      </c>
      <c r="P79" s="263">
        <f t="shared" si="11"/>
        <v>1862.54</v>
      </c>
      <c r="Q79" s="263">
        <f t="shared" si="11"/>
        <v>1809.74</v>
      </c>
      <c r="R79" s="263">
        <f t="shared" si="11"/>
        <v>1834.6399999999999</v>
      </c>
      <c r="S79" s="263">
        <f t="shared" si="11"/>
        <v>1878.34</v>
      </c>
      <c r="T79" s="263">
        <f t="shared" si="11"/>
        <v>1828.9399999999998</v>
      </c>
      <c r="U79" s="263">
        <f t="shared" si="11"/>
        <v>1796.5399999999997</v>
      </c>
      <c r="V79" s="263">
        <f t="shared" si="11"/>
        <v>1789.8399999999997</v>
      </c>
      <c r="W79" s="263">
        <f t="shared" si="11"/>
        <v>1781.8399999999997</v>
      </c>
      <c r="X79" s="263">
        <f t="shared" si="11"/>
        <v>1799.7399999999998</v>
      </c>
      <c r="Y79" s="263">
        <f t="shared" si="11"/>
        <v>1779.7399999999998</v>
      </c>
      <c r="Z79" s="263">
        <f t="shared" si="11"/>
        <v>1582.84</v>
      </c>
      <c r="AA79" s="263">
        <f t="shared" si="11"/>
        <v>1872.6399999999999</v>
      </c>
      <c r="AB79" s="263">
        <f t="shared" si="11"/>
        <v>1857.34</v>
      </c>
      <c r="AC79" s="263">
        <f t="shared" si="11"/>
        <v>1856.54</v>
      </c>
      <c r="AD79" s="263">
        <f t="shared" si="11"/>
        <v>1864.3400000000001</v>
      </c>
      <c r="AE79" s="263">
        <f t="shared" si="11"/>
        <v>1833.94</v>
      </c>
      <c r="AF79" s="263">
        <f t="shared" si="11"/>
        <v>1775.94</v>
      </c>
      <c r="AG79" s="261">
        <f>AG76+AG72+AG60+AG56+AG38+AG78</f>
        <v>1317.0900000000001</v>
      </c>
      <c r="AH79" s="226">
        <f t="shared" si="2"/>
        <v>2165.04</v>
      </c>
      <c r="AI79" s="227">
        <f t="shared" si="3"/>
        <v>841.54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>B79-B87</f>
        <v>1540.54</v>
      </c>
      <c r="C80" s="263">
        <f t="shared" ref="C80:AF80" si="12">C79-C87</f>
        <v>1496.54</v>
      </c>
      <c r="D80" s="263">
        <f t="shared" si="12"/>
        <v>1485.04</v>
      </c>
      <c r="E80" s="263">
        <f t="shared" si="12"/>
        <v>1467.14</v>
      </c>
      <c r="F80" s="263">
        <f t="shared" si="12"/>
        <v>1452.3400000000001</v>
      </c>
      <c r="G80" s="263">
        <f t="shared" si="12"/>
        <v>1441.8400000000001</v>
      </c>
      <c r="H80" s="263">
        <f t="shared" si="12"/>
        <v>1411.64</v>
      </c>
      <c r="I80" s="263">
        <f t="shared" si="12"/>
        <v>841.54</v>
      </c>
      <c r="J80" s="263">
        <f t="shared" si="12"/>
        <v>1304.8399999999999</v>
      </c>
      <c r="K80" s="263">
        <f t="shared" si="12"/>
        <v>2165.04</v>
      </c>
      <c r="L80" s="263">
        <f t="shared" si="12"/>
        <v>1394.44</v>
      </c>
      <c r="M80" s="263">
        <f t="shared" si="12"/>
        <v>1466.24</v>
      </c>
      <c r="N80" s="263">
        <f t="shared" si="12"/>
        <v>1503.74</v>
      </c>
      <c r="O80" s="263">
        <f t="shared" si="12"/>
        <v>1477.74</v>
      </c>
      <c r="P80" s="263">
        <f t="shared" si="12"/>
        <v>1484.54</v>
      </c>
      <c r="Q80" s="263">
        <f t="shared" si="12"/>
        <v>1434.74</v>
      </c>
      <c r="R80" s="263">
        <f t="shared" si="12"/>
        <v>1466.6399999999999</v>
      </c>
      <c r="S80" s="263">
        <f t="shared" si="12"/>
        <v>1488.34</v>
      </c>
      <c r="T80" s="263">
        <f t="shared" si="12"/>
        <v>1408.9399999999998</v>
      </c>
      <c r="U80" s="263">
        <f t="shared" si="12"/>
        <v>1386.5399999999997</v>
      </c>
      <c r="V80" s="263">
        <f t="shared" si="12"/>
        <v>1401.1399999999996</v>
      </c>
      <c r="W80" s="263">
        <f t="shared" si="12"/>
        <v>1358.4399999999996</v>
      </c>
      <c r="X80" s="263">
        <f t="shared" si="12"/>
        <v>1394.7399999999998</v>
      </c>
      <c r="Y80" s="263">
        <f t="shared" si="12"/>
        <v>1452.7399999999998</v>
      </c>
      <c r="Z80" s="263">
        <f t="shared" si="12"/>
        <v>1230.8399999999999</v>
      </c>
      <c r="AA80" s="263">
        <f t="shared" si="12"/>
        <v>1563.6399999999999</v>
      </c>
      <c r="AB80" s="263">
        <f t="shared" si="12"/>
        <v>1548.34</v>
      </c>
      <c r="AC80" s="263">
        <f t="shared" si="12"/>
        <v>1538.54</v>
      </c>
      <c r="AD80" s="263">
        <f t="shared" si="12"/>
        <v>1529.3400000000001</v>
      </c>
      <c r="AE80" s="263">
        <f t="shared" si="12"/>
        <v>1458.94</v>
      </c>
      <c r="AF80" s="263">
        <f t="shared" si="12"/>
        <v>1385.94</v>
      </c>
      <c r="AG80" s="261"/>
      <c r="AH80" s="226">
        <f t="shared" ref="AH80:AH97" si="13">MAX(B80:AF80)</f>
        <v>2165.04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340.5</v>
      </c>
      <c r="C84" s="256">
        <f t="shared" ref="C84:AF84" si="18">IF(C63&lt;0,C63*-1,0)</f>
        <v>346.5</v>
      </c>
      <c r="D84" s="256">
        <f t="shared" si="18"/>
        <v>367.6</v>
      </c>
      <c r="E84" s="256">
        <f t="shared" si="18"/>
        <v>370</v>
      </c>
      <c r="F84" s="256">
        <f t="shared" si="18"/>
        <v>355</v>
      </c>
      <c r="G84" s="256">
        <f t="shared" si="18"/>
        <v>360</v>
      </c>
      <c r="H84" s="256">
        <f t="shared" si="18"/>
        <v>390</v>
      </c>
      <c r="I84" s="256">
        <f t="shared" si="18"/>
        <v>0</v>
      </c>
      <c r="J84" s="256">
        <f t="shared" si="18"/>
        <v>430</v>
      </c>
      <c r="K84" s="256">
        <f t="shared" si="18"/>
        <v>0</v>
      </c>
      <c r="L84" s="256">
        <f t="shared" si="18"/>
        <v>367</v>
      </c>
      <c r="M84" s="256">
        <f t="shared" si="18"/>
        <v>325</v>
      </c>
      <c r="N84" s="256">
        <f t="shared" si="18"/>
        <v>369</v>
      </c>
      <c r="O84" s="256">
        <f t="shared" si="18"/>
        <v>306.2</v>
      </c>
      <c r="P84" s="256">
        <f t="shared" si="18"/>
        <v>378</v>
      </c>
      <c r="Q84" s="256">
        <f t="shared" si="18"/>
        <v>375</v>
      </c>
      <c r="R84" s="256">
        <f t="shared" si="18"/>
        <v>368</v>
      </c>
      <c r="S84" s="256">
        <f t="shared" si="18"/>
        <v>390</v>
      </c>
      <c r="T84" s="256">
        <f t="shared" si="18"/>
        <v>420</v>
      </c>
      <c r="U84" s="256">
        <f t="shared" si="18"/>
        <v>410</v>
      </c>
      <c r="V84" s="256">
        <f t="shared" si="18"/>
        <v>388.7</v>
      </c>
      <c r="W84" s="256">
        <f t="shared" si="18"/>
        <v>423.4</v>
      </c>
      <c r="X84" s="256">
        <f t="shared" si="18"/>
        <v>405</v>
      </c>
      <c r="Y84" s="256">
        <f t="shared" si="18"/>
        <v>327</v>
      </c>
      <c r="Z84" s="256">
        <f t="shared" si="18"/>
        <v>352</v>
      </c>
      <c r="AA84" s="256">
        <f t="shared" si="18"/>
        <v>309</v>
      </c>
      <c r="AB84" s="256">
        <f t="shared" si="18"/>
        <v>309</v>
      </c>
      <c r="AC84" s="256">
        <f t="shared" si="18"/>
        <v>318</v>
      </c>
      <c r="AD84" s="256">
        <f t="shared" si="18"/>
        <v>335</v>
      </c>
      <c r="AE84" s="256">
        <f t="shared" si="18"/>
        <v>375</v>
      </c>
      <c r="AF84" s="256">
        <f t="shared" si="18"/>
        <v>390</v>
      </c>
      <c r="AG84" s="266"/>
      <c r="AH84" s="226">
        <f t="shared" si="13"/>
        <v>430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340.5</v>
      </c>
      <c r="C87" s="241">
        <f t="shared" ref="C87:AF87" si="20">SUM(C81:C86)</f>
        <v>346.5</v>
      </c>
      <c r="D87" s="241">
        <f t="shared" si="20"/>
        <v>367.6</v>
      </c>
      <c r="E87" s="241">
        <f t="shared" si="20"/>
        <v>370</v>
      </c>
      <c r="F87" s="241">
        <f t="shared" si="20"/>
        <v>355</v>
      </c>
      <c r="G87" s="241">
        <f t="shared" si="20"/>
        <v>360</v>
      </c>
      <c r="H87" s="241">
        <f t="shared" si="20"/>
        <v>390</v>
      </c>
      <c r="I87" s="241">
        <f t="shared" si="20"/>
        <v>0</v>
      </c>
      <c r="J87" s="241">
        <f t="shared" si="20"/>
        <v>430</v>
      </c>
      <c r="K87" s="241">
        <f t="shared" si="20"/>
        <v>0</v>
      </c>
      <c r="L87" s="241">
        <f t="shared" si="20"/>
        <v>367</v>
      </c>
      <c r="M87" s="241">
        <f t="shared" si="20"/>
        <v>325</v>
      </c>
      <c r="N87" s="241">
        <f t="shared" si="20"/>
        <v>369</v>
      </c>
      <c r="O87" s="241">
        <f t="shared" si="20"/>
        <v>306.2</v>
      </c>
      <c r="P87" s="241">
        <f t="shared" si="20"/>
        <v>378</v>
      </c>
      <c r="Q87" s="241">
        <f t="shared" si="20"/>
        <v>375</v>
      </c>
      <c r="R87" s="241">
        <f t="shared" si="20"/>
        <v>368</v>
      </c>
      <c r="S87" s="241">
        <f t="shared" si="20"/>
        <v>390</v>
      </c>
      <c r="T87" s="241">
        <f t="shared" si="20"/>
        <v>420</v>
      </c>
      <c r="U87" s="241">
        <f t="shared" si="20"/>
        <v>410</v>
      </c>
      <c r="V87" s="241">
        <f t="shared" si="20"/>
        <v>388.7</v>
      </c>
      <c r="W87" s="241">
        <f t="shared" si="20"/>
        <v>423.4</v>
      </c>
      <c r="X87" s="241">
        <f t="shared" si="20"/>
        <v>405</v>
      </c>
      <c r="Y87" s="241">
        <f t="shared" si="20"/>
        <v>327</v>
      </c>
      <c r="Z87" s="241">
        <f t="shared" si="20"/>
        <v>352</v>
      </c>
      <c r="AA87" s="241">
        <f t="shared" si="20"/>
        <v>309</v>
      </c>
      <c r="AB87" s="241">
        <f t="shared" si="20"/>
        <v>309</v>
      </c>
      <c r="AC87" s="241">
        <f t="shared" si="20"/>
        <v>318</v>
      </c>
      <c r="AD87" s="241">
        <f t="shared" si="20"/>
        <v>335</v>
      </c>
      <c r="AE87" s="241">
        <f t="shared" si="20"/>
        <v>375</v>
      </c>
      <c r="AF87" s="241">
        <f t="shared" si="20"/>
        <v>390</v>
      </c>
      <c r="AG87" s="261"/>
      <c r="AH87" s="226">
        <f t="shared" si="13"/>
        <v>430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-259.3</v>
      </c>
      <c r="C88" s="241">
        <f t="shared" ref="C88:AF88" si="21">C72-C87</f>
        <v>-306.10000000000002</v>
      </c>
      <c r="D88" s="241">
        <f t="shared" si="21"/>
        <v>-328.5</v>
      </c>
      <c r="E88" s="241">
        <f t="shared" si="21"/>
        <v>-330</v>
      </c>
      <c r="F88" s="241">
        <f t="shared" si="21"/>
        <v>-282.10000000000002</v>
      </c>
      <c r="G88" s="241">
        <f t="shared" si="21"/>
        <v>-296.60000000000002</v>
      </c>
      <c r="H88" s="241">
        <f t="shared" si="21"/>
        <v>-325.7</v>
      </c>
      <c r="I88" s="241">
        <f t="shared" si="21"/>
        <v>0</v>
      </c>
      <c r="J88" s="241">
        <f t="shared" si="21"/>
        <v>-415</v>
      </c>
      <c r="K88" s="241">
        <f t="shared" si="21"/>
        <v>408</v>
      </c>
      <c r="L88" s="241">
        <f t="shared" si="21"/>
        <v>-360</v>
      </c>
      <c r="M88" s="241">
        <f t="shared" si="21"/>
        <v>-312.7</v>
      </c>
      <c r="N88" s="241">
        <f t="shared" si="21"/>
        <v>-318.2</v>
      </c>
      <c r="O88" s="241">
        <f t="shared" si="21"/>
        <v>-287.8</v>
      </c>
      <c r="P88" s="241">
        <f t="shared" si="21"/>
        <v>-335</v>
      </c>
      <c r="Q88" s="241">
        <f t="shared" si="21"/>
        <v>-323</v>
      </c>
      <c r="R88" s="241">
        <f t="shared" si="21"/>
        <v>-307.3</v>
      </c>
      <c r="S88" s="241">
        <f t="shared" si="21"/>
        <v>-336.3</v>
      </c>
      <c r="T88" s="241">
        <f t="shared" si="21"/>
        <v>-375.2</v>
      </c>
      <c r="U88" s="241">
        <f t="shared" si="21"/>
        <v>-403.3</v>
      </c>
      <c r="V88" s="241">
        <f t="shared" si="21"/>
        <v>-388.7</v>
      </c>
      <c r="W88" s="241">
        <f t="shared" si="21"/>
        <v>-423.4</v>
      </c>
      <c r="X88" s="241">
        <f t="shared" si="21"/>
        <v>-405</v>
      </c>
      <c r="Y88" s="241">
        <f t="shared" si="21"/>
        <v>-327</v>
      </c>
      <c r="Z88" s="241">
        <f t="shared" si="21"/>
        <v>-352</v>
      </c>
      <c r="AA88" s="241">
        <f t="shared" si="21"/>
        <v>-233</v>
      </c>
      <c r="AB88" s="241">
        <f t="shared" si="21"/>
        <v>-256.2</v>
      </c>
      <c r="AC88" s="241">
        <f t="shared" si="21"/>
        <v>-266</v>
      </c>
      <c r="AD88" s="241">
        <f t="shared" si="21"/>
        <v>-283</v>
      </c>
      <c r="AE88" s="241">
        <f t="shared" si="21"/>
        <v>-330</v>
      </c>
      <c r="AF88" s="241">
        <f t="shared" si="21"/>
        <v>-370</v>
      </c>
      <c r="AG88" s="261"/>
      <c r="AH88" s="226">
        <f t="shared" si="13"/>
        <v>408</v>
      </c>
      <c r="AI88" s="227">
        <f t="shared" si="15"/>
        <v>-423.4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50.02</v>
      </c>
      <c r="C89" s="269">
        <v>49.951999999999998</v>
      </c>
      <c r="D89" s="269">
        <v>49.887</v>
      </c>
      <c r="E89" s="269">
        <v>49.973999999999997</v>
      </c>
      <c r="F89" s="269">
        <v>50.018999999999998</v>
      </c>
      <c r="G89" s="269">
        <v>49.957000000000001</v>
      </c>
      <c r="H89" s="269">
        <v>50.027000000000001</v>
      </c>
      <c r="I89" s="269"/>
      <c r="J89" s="269">
        <v>50.005000000000003</v>
      </c>
      <c r="K89" s="269">
        <v>49.924999999999997</v>
      </c>
      <c r="L89" s="269">
        <v>49.968000000000004</v>
      </c>
      <c r="M89" s="269">
        <v>49.896999999999998</v>
      </c>
      <c r="N89" s="269">
        <v>50.042999999999999</v>
      </c>
      <c r="O89" s="269">
        <v>50.116999999999997</v>
      </c>
      <c r="P89" s="269">
        <v>50.046999999999997</v>
      </c>
      <c r="Q89" s="269">
        <v>49.99</v>
      </c>
      <c r="R89" s="269">
        <v>49.93</v>
      </c>
      <c r="S89" s="269">
        <v>50.034999999999997</v>
      </c>
      <c r="T89" s="269">
        <v>49.984999999999999</v>
      </c>
      <c r="U89" s="269">
        <v>49.875999999999998</v>
      </c>
      <c r="V89" s="269">
        <v>49.98</v>
      </c>
      <c r="W89" s="269">
        <v>50</v>
      </c>
      <c r="X89" s="269">
        <v>49.968000000000004</v>
      </c>
      <c r="Y89" s="269">
        <v>49.966000000000001</v>
      </c>
      <c r="Z89" s="269">
        <v>49.966000000000001</v>
      </c>
      <c r="AA89" s="269">
        <v>49.816000000000003</v>
      </c>
      <c r="AB89" s="269">
        <v>49.941000000000003</v>
      </c>
      <c r="AC89" s="269">
        <v>49.98</v>
      </c>
      <c r="AD89" s="269">
        <v>50</v>
      </c>
      <c r="AE89" s="269">
        <v>50.02</v>
      </c>
      <c r="AF89" s="269">
        <v>50.03</v>
      </c>
      <c r="AG89" s="270"/>
      <c r="AH89" s="226">
        <f t="shared" si="13"/>
        <v>50.116999999999997</v>
      </c>
      <c r="AI89" s="227">
        <f t="shared" si="15"/>
        <v>49.816000000000003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121.8</v>
      </c>
      <c r="C90" s="245">
        <v>123.2</v>
      </c>
      <c r="D90" s="245">
        <v>122.4</v>
      </c>
      <c r="E90" s="245">
        <v>123.4</v>
      </c>
      <c r="F90" s="245">
        <v>124.7</v>
      </c>
      <c r="G90" s="245">
        <v>124.2</v>
      </c>
      <c r="H90" s="245">
        <v>125</v>
      </c>
      <c r="I90" s="245"/>
      <c r="J90" s="245">
        <v>121.4</v>
      </c>
      <c r="K90" s="245">
        <v>123.4</v>
      </c>
      <c r="L90" s="245">
        <v>122.8</v>
      </c>
      <c r="M90" s="245">
        <v>122.7</v>
      </c>
      <c r="N90" s="245">
        <v>122.5</v>
      </c>
      <c r="O90" s="245">
        <v>124.3</v>
      </c>
      <c r="P90" s="245">
        <v>122.7</v>
      </c>
      <c r="Q90" s="245">
        <v>123</v>
      </c>
      <c r="R90" s="245">
        <v>122.2</v>
      </c>
      <c r="S90" s="245">
        <v>123.8</v>
      </c>
      <c r="T90" s="245">
        <v>123.8</v>
      </c>
      <c r="U90" s="245">
        <v>125.9</v>
      </c>
      <c r="V90" s="245">
        <v>125.9</v>
      </c>
      <c r="W90" s="245">
        <v>124.4</v>
      </c>
      <c r="X90" s="245">
        <v>124.5</v>
      </c>
      <c r="Y90" s="245">
        <v>124</v>
      </c>
      <c r="Z90" s="245">
        <v>124</v>
      </c>
      <c r="AA90" s="245">
        <v>123.4</v>
      </c>
      <c r="AB90" s="245">
        <v>124.3</v>
      </c>
      <c r="AC90" s="245">
        <v>125</v>
      </c>
      <c r="AD90" s="245">
        <v>125</v>
      </c>
      <c r="AE90" s="245">
        <v>125</v>
      </c>
      <c r="AF90" s="245">
        <v>125</v>
      </c>
      <c r="AG90" s="272"/>
      <c r="AH90" s="226">
        <f t="shared" si="13"/>
        <v>125.9</v>
      </c>
      <c r="AI90" s="227">
        <f t="shared" si="15"/>
        <v>121.4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127.4</v>
      </c>
      <c r="C91" s="245">
        <v>128</v>
      </c>
      <c r="D91" s="245">
        <v>127.7</v>
      </c>
      <c r="E91" s="245">
        <v>128.30000000000001</v>
      </c>
      <c r="F91" s="245">
        <v>129.1</v>
      </c>
      <c r="G91" s="245">
        <v>128.80000000000001</v>
      </c>
      <c r="H91" s="245">
        <v>128.69999999999999</v>
      </c>
      <c r="I91" s="245"/>
      <c r="J91" s="245">
        <v>125.6</v>
      </c>
      <c r="K91" s="245">
        <v>127.3</v>
      </c>
      <c r="L91" s="245">
        <v>126.8</v>
      </c>
      <c r="M91" s="245">
        <v>126.7</v>
      </c>
      <c r="N91" s="245">
        <v>126.3</v>
      </c>
      <c r="O91" s="245">
        <v>127.9</v>
      </c>
      <c r="P91" s="245">
        <v>127.1</v>
      </c>
      <c r="Q91" s="245">
        <v>126.5</v>
      </c>
      <c r="R91" s="245">
        <v>125.9</v>
      </c>
      <c r="S91" s="245">
        <v>128.19999999999999</v>
      </c>
      <c r="T91" s="245">
        <v>128.19999999999999</v>
      </c>
      <c r="U91" s="245">
        <v>129.69999999999999</v>
      </c>
      <c r="V91" s="245">
        <v>129.69999999999999</v>
      </c>
      <c r="W91" s="245">
        <v>129.1</v>
      </c>
      <c r="X91" s="245">
        <v>129</v>
      </c>
      <c r="Y91" s="245">
        <v>128.9</v>
      </c>
      <c r="Z91" s="245">
        <v>128.9</v>
      </c>
      <c r="AA91" s="245">
        <v>127.9</v>
      </c>
      <c r="AB91" s="245">
        <v>128.80000000000001</v>
      </c>
      <c r="AC91" s="245">
        <v>129</v>
      </c>
      <c r="AD91" s="245">
        <v>129</v>
      </c>
      <c r="AE91" s="245">
        <v>129</v>
      </c>
      <c r="AF91" s="245">
        <v>130</v>
      </c>
      <c r="AG91" s="272"/>
      <c r="AH91" s="226">
        <f t="shared" si="13"/>
        <v>130</v>
      </c>
      <c r="AI91" s="227">
        <f t="shared" si="15"/>
        <v>125.6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128.69999999999999</v>
      </c>
      <c r="C92" s="245">
        <v>128.80000000000001</v>
      </c>
      <c r="D92" s="245">
        <v>127.8</v>
      </c>
      <c r="E92" s="245">
        <v>129.80000000000001</v>
      </c>
      <c r="F92" s="245">
        <v>129.69999999999999</v>
      </c>
      <c r="G92" s="245">
        <v>129.69999999999999</v>
      </c>
      <c r="H92" s="245">
        <v>131.69999999999999</v>
      </c>
      <c r="I92" s="245"/>
      <c r="J92" s="245">
        <v>129.1</v>
      </c>
      <c r="K92" s="245">
        <v>128.6</v>
      </c>
      <c r="L92" s="245">
        <v>126.8</v>
      </c>
      <c r="M92" s="245">
        <v>126.8</v>
      </c>
      <c r="N92" s="245">
        <v>129.4</v>
      </c>
      <c r="O92" s="245">
        <v>130</v>
      </c>
      <c r="P92" s="245">
        <v>128.9</v>
      </c>
      <c r="Q92" s="245">
        <v>131.4</v>
      </c>
      <c r="R92" s="245">
        <v>131</v>
      </c>
      <c r="S92" s="245">
        <v>129.5</v>
      </c>
      <c r="T92" s="245">
        <v>129.5</v>
      </c>
      <c r="U92" s="245">
        <v>129.19999999999999</v>
      </c>
      <c r="V92" s="245">
        <v>129.19999999999999</v>
      </c>
      <c r="W92" s="245">
        <v>127.4</v>
      </c>
      <c r="X92" s="245">
        <v>128.30000000000001</v>
      </c>
      <c r="Y92" s="245">
        <v>128.19999999999999</v>
      </c>
      <c r="Z92" s="245">
        <v>128.19999999999999</v>
      </c>
      <c r="AA92" s="245">
        <v>128</v>
      </c>
      <c r="AB92" s="245">
        <v>128</v>
      </c>
      <c r="AC92" s="245">
        <v>129</v>
      </c>
      <c r="AD92" s="245">
        <v>129</v>
      </c>
      <c r="AE92" s="245">
        <v>129</v>
      </c>
      <c r="AF92" s="245">
        <v>129</v>
      </c>
      <c r="AG92" s="272"/>
      <c r="AH92" s="226">
        <f t="shared" si="13"/>
        <v>131.69999999999999</v>
      </c>
      <c r="AI92" s="227">
        <f t="shared" si="15"/>
        <v>126.8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131.5</v>
      </c>
      <c r="C93" s="245">
        <v>132.1</v>
      </c>
      <c r="D93" s="245">
        <v>131.6</v>
      </c>
      <c r="E93" s="245">
        <v>133.5</v>
      </c>
      <c r="F93" s="245">
        <v>134</v>
      </c>
      <c r="G93" s="245">
        <v>133.9</v>
      </c>
      <c r="H93" s="245">
        <v>135.5</v>
      </c>
      <c r="I93" s="245"/>
      <c r="J93" s="245">
        <v>133.5</v>
      </c>
      <c r="K93" s="245">
        <v>133.19999999999999</v>
      </c>
      <c r="L93" s="245">
        <v>131.1</v>
      </c>
      <c r="M93" s="245">
        <v>130.4</v>
      </c>
      <c r="N93" s="245">
        <v>132.5</v>
      </c>
      <c r="O93" s="245">
        <v>132.69999999999999</v>
      </c>
      <c r="P93" s="245">
        <v>132.30000000000001</v>
      </c>
      <c r="Q93" s="245">
        <v>134.30000000000001</v>
      </c>
      <c r="R93" s="245">
        <v>134</v>
      </c>
      <c r="S93" s="245">
        <v>133.69999999999999</v>
      </c>
      <c r="T93" s="245">
        <v>133.69999999999999</v>
      </c>
      <c r="U93" s="245">
        <v>132.19999999999999</v>
      </c>
      <c r="V93" s="245">
        <v>132.19999999999999</v>
      </c>
      <c r="W93" s="245">
        <v>130.69999999999999</v>
      </c>
      <c r="X93" s="245">
        <v>131.19999999999999</v>
      </c>
      <c r="Y93" s="245">
        <v>132.5</v>
      </c>
      <c r="Z93" s="245">
        <v>132.5</v>
      </c>
      <c r="AA93" s="245">
        <v>131.19999999999999</v>
      </c>
      <c r="AB93" s="245">
        <v>133.1</v>
      </c>
      <c r="AC93" s="245">
        <v>131</v>
      </c>
      <c r="AD93" s="245">
        <v>131</v>
      </c>
      <c r="AE93" s="245">
        <v>131</v>
      </c>
      <c r="AF93" s="245">
        <v>133</v>
      </c>
      <c r="AG93" s="272"/>
      <c r="AH93" s="226">
        <f t="shared" si="13"/>
        <v>135.5</v>
      </c>
      <c r="AI93" s="227">
        <f t="shared" si="15"/>
        <v>130.4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126.5</v>
      </c>
      <c r="C94" s="274">
        <v>127.2</v>
      </c>
      <c r="D94" s="274">
        <v>130</v>
      </c>
      <c r="E94" s="274">
        <v>127.3</v>
      </c>
      <c r="F94" s="274">
        <v>134.5</v>
      </c>
      <c r="G94" s="274">
        <v>132.1</v>
      </c>
      <c r="H94" s="274">
        <v>130.5</v>
      </c>
      <c r="I94" s="274"/>
      <c r="J94" s="274">
        <v>129.9</v>
      </c>
      <c r="K94" s="274">
        <v>129.30000000000001</v>
      </c>
      <c r="L94" s="274">
        <v>132.1</v>
      </c>
      <c r="M94" s="274">
        <v>130.30000000000001</v>
      </c>
      <c r="N94" s="274">
        <v>133.5</v>
      </c>
      <c r="O94" s="274">
        <v>135.6</v>
      </c>
      <c r="P94" s="274">
        <v>134.6</v>
      </c>
      <c r="Q94" s="274">
        <v>131.19999999999999</v>
      </c>
      <c r="R94" s="274">
        <v>129.69999999999999</v>
      </c>
      <c r="S94" s="274">
        <v>131.5</v>
      </c>
      <c r="T94" s="274">
        <v>131.5</v>
      </c>
      <c r="U94" s="274">
        <v>133.1</v>
      </c>
      <c r="V94" s="274">
        <v>133.1</v>
      </c>
      <c r="W94" s="274">
        <v>133.5</v>
      </c>
      <c r="X94" s="274">
        <v>133.6</v>
      </c>
      <c r="Y94" s="274">
        <v>132.9</v>
      </c>
      <c r="Z94" s="274">
        <v>132.9</v>
      </c>
      <c r="AA94" s="274">
        <v>135</v>
      </c>
      <c r="AB94" s="274">
        <v>131.30000000000001</v>
      </c>
      <c r="AC94" s="274">
        <v>136</v>
      </c>
      <c r="AD94" s="274">
        <v>136</v>
      </c>
      <c r="AE94" s="274">
        <v>136</v>
      </c>
      <c r="AF94" s="274">
        <v>132.5</v>
      </c>
      <c r="AG94" s="275"/>
      <c r="AH94" s="226">
        <f t="shared" si="13"/>
        <v>136</v>
      </c>
      <c r="AI94" s="227">
        <f t="shared" si="15"/>
        <v>126.5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122.4</v>
      </c>
      <c r="C95" s="245">
        <v>119.2</v>
      </c>
      <c r="D95" s="245">
        <v>123.3</v>
      </c>
      <c r="E95" s="245">
        <v>125.1</v>
      </c>
      <c r="F95" s="245">
        <v>126.7</v>
      </c>
      <c r="G95" s="245">
        <v>130</v>
      </c>
      <c r="H95" s="245">
        <v>126.8</v>
      </c>
      <c r="I95" s="245"/>
      <c r="J95" s="245">
        <v>129.19999999999999</v>
      </c>
      <c r="K95" s="245">
        <v>127.3</v>
      </c>
      <c r="L95" s="245">
        <v>127.8</v>
      </c>
      <c r="M95" s="245">
        <v>125.9</v>
      </c>
      <c r="N95" s="245">
        <v>131.5</v>
      </c>
      <c r="O95" s="245">
        <v>134.4</v>
      </c>
      <c r="P95" s="245">
        <v>133</v>
      </c>
      <c r="Q95" s="245">
        <v>123.4</v>
      </c>
      <c r="R95" s="245">
        <v>122.1</v>
      </c>
      <c r="S95" s="245">
        <v>124.5</v>
      </c>
      <c r="T95" s="245">
        <v>124.5</v>
      </c>
      <c r="U95" s="245">
        <v>125.2</v>
      </c>
      <c r="V95" s="245">
        <v>125.2</v>
      </c>
      <c r="W95" s="245">
        <v>127.8</v>
      </c>
      <c r="X95" s="245">
        <v>126.5</v>
      </c>
      <c r="Y95" s="245">
        <v>126.2</v>
      </c>
      <c r="Z95" s="245">
        <v>126.2</v>
      </c>
      <c r="AA95" s="245">
        <v>130.19999999999999</v>
      </c>
      <c r="AB95" s="245">
        <v>124.8</v>
      </c>
      <c r="AC95" s="245">
        <v>125</v>
      </c>
      <c r="AD95" s="245">
        <v>120</v>
      </c>
      <c r="AE95" s="245">
        <v>118</v>
      </c>
      <c r="AF95" s="245">
        <v>125</v>
      </c>
      <c r="AG95" s="272"/>
      <c r="AH95" s="226">
        <f t="shared" si="13"/>
        <v>134.4</v>
      </c>
      <c r="AI95" s="227">
        <f t="shared" si="15"/>
        <v>118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64.3</v>
      </c>
      <c r="C96" s="276">
        <v>64.900000000000006</v>
      </c>
      <c r="D96" s="276">
        <v>64.400000000000006</v>
      </c>
      <c r="E96" s="276">
        <v>64.900000000000006</v>
      </c>
      <c r="F96" s="276">
        <v>65.3</v>
      </c>
      <c r="G96" s="276">
        <v>65</v>
      </c>
      <c r="H96" s="276">
        <v>65.2</v>
      </c>
      <c r="I96" s="276"/>
      <c r="J96" s="276">
        <v>63.2</v>
      </c>
      <c r="K96" s="276">
        <v>64.5</v>
      </c>
      <c r="L96" s="276">
        <v>64.2</v>
      </c>
      <c r="M96" s="276">
        <v>64.2</v>
      </c>
      <c r="N96" s="276">
        <v>63.9</v>
      </c>
      <c r="O96" s="276">
        <v>64.5</v>
      </c>
      <c r="P96" s="276">
        <v>64.3</v>
      </c>
      <c r="Q96" s="276">
        <v>64.2</v>
      </c>
      <c r="R96" s="276">
        <v>63.8</v>
      </c>
      <c r="S96" s="276">
        <v>64.8</v>
      </c>
      <c r="T96" s="276">
        <v>64.8</v>
      </c>
      <c r="U96" s="276">
        <v>65.5</v>
      </c>
      <c r="V96" s="276">
        <v>65.5</v>
      </c>
      <c r="W96" s="276">
        <v>65.2</v>
      </c>
      <c r="X96" s="276">
        <v>65.2</v>
      </c>
      <c r="Y96" s="276">
        <v>64.900000000000006</v>
      </c>
      <c r="Z96" s="276">
        <v>64.900000000000006</v>
      </c>
      <c r="AA96" s="276">
        <v>64.5</v>
      </c>
      <c r="AB96" s="276">
        <v>65.099999999999994</v>
      </c>
      <c r="AC96" s="276">
        <v>65</v>
      </c>
      <c r="AD96" s="276">
        <v>65</v>
      </c>
      <c r="AE96" s="276">
        <v>65</v>
      </c>
      <c r="AF96" s="276">
        <v>65.599999999999994</v>
      </c>
      <c r="AG96" s="277"/>
      <c r="AH96" s="226">
        <f t="shared" si="13"/>
        <v>65.599999999999994</v>
      </c>
      <c r="AI96" s="227">
        <f t="shared" si="15"/>
        <v>63.2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>SUM(B15,B18,B21:B22,B46,B48:B49,B51,B53,B99:B102,B124,B130,B136,B145,B147,B159,B166,B169:B170,B177,B179,B181,B185:B187,B189:B191,B196,B202:B203,B205:B207,B215,B220)</f>
        <v>46.900000000000041</v>
      </c>
      <c r="C98" s="280">
        <f t="shared" ref="C98:AF98" si="22">SUM(C15,C18,C21:C22,C46,C48:C49,C51,C53,C99:C102,C124,C130,C136,C145,C147,C159,C166,C169:C170,C177,C179,C181,C185:C187,C189:C191,C196,C202:C203,C205:C207,C215,C220)</f>
        <v>61.440000000000005</v>
      </c>
      <c r="D98" s="280">
        <f t="shared" si="22"/>
        <v>48.840000000000011</v>
      </c>
      <c r="E98" s="280">
        <f t="shared" si="22"/>
        <v>52.739999999999988</v>
      </c>
      <c r="F98" s="280">
        <f t="shared" si="22"/>
        <v>53.439999999999991</v>
      </c>
      <c r="G98" s="280">
        <f t="shared" si="22"/>
        <v>68.64</v>
      </c>
      <c r="H98" s="280">
        <f t="shared" si="22"/>
        <v>73.939999999999984</v>
      </c>
      <c r="I98" s="280">
        <f t="shared" si="22"/>
        <v>0.94</v>
      </c>
      <c r="J98" s="280">
        <f t="shared" si="22"/>
        <v>75.44</v>
      </c>
      <c r="K98" s="280">
        <f t="shared" si="22"/>
        <v>119.73999999999997</v>
      </c>
      <c r="L98" s="280">
        <f t="shared" si="22"/>
        <v>124.73999999999997</v>
      </c>
      <c r="M98" s="280">
        <f t="shared" si="22"/>
        <v>161.23999999999998</v>
      </c>
      <c r="N98" s="280">
        <f t="shared" si="22"/>
        <v>166.73999999999995</v>
      </c>
      <c r="O98" s="280">
        <f t="shared" si="22"/>
        <v>173.93999999999997</v>
      </c>
      <c r="P98" s="280">
        <f t="shared" si="22"/>
        <v>110.33999999999997</v>
      </c>
      <c r="Q98" s="280">
        <f t="shared" si="22"/>
        <v>175.4</v>
      </c>
      <c r="R98" s="280">
        <f t="shared" si="22"/>
        <v>175.7</v>
      </c>
      <c r="S98" s="280">
        <f t="shared" si="22"/>
        <v>134.19999999999999</v>
      </c>
      <c r="T98" s="280">
        <f t="shared" si="22"/>
        <v>135.19999999999999</v>
      </c>
      <c r="U98" s="280">
        <f t="shared" si="22"/>
        <v>117.1</v>
      </c>
      <c r="V98" s="280">
        <f t="shared" si="22"/>
        <v>117.1</v>
      </c>
      <c r="W98" s="280">
        <f t="shared" si="22"/>
        <v>113.8</v>
      </c>
      <c r="X98" s="280">
        <f t="shared" si="22"/>
        <v>145.99999999999997</v>
      </c>
      <c r="Y98" s="280">
        <f t="shared" si="22"/>
        <v>164.3</v>
      </c>
      <c r="Z98" s="280">
        <f t="shared" si="22"/>
        <v>183.39999999999998</v>
      </c>
      <c r="AA98" s="280">
        <f t="shared" si="22"/>
        <v>203.2</v>
      </c>
      <c r="AB98" s="280">
        <f t="shared" si="22"/>
        <v>185.70000000000002</v>
      </c>
      <c r="AC98" s="280">
        <f t="shared" si="22"/>
        <v>141.70000000000002</v>
      </c>
      <c r="AD98" s="280">
        <f t="shared" si="22"/>
        <v>142.70000000000002</v>
      </c>
      <c r="AE98" s="280">
        <f t="shared" si="22"/>
        <v>88.9</v>
      </c>
      <c r="AF98" s="280">
        <f t="shared" si="22"/>
        <v>69.900000000000006</v>
      </c>
      <c r="AG98" s="281"/>
      <c r="AH98" s="226">
        <f>MAX(C98:AF98)</f>
        <v>203.2</v>
      </c>
      <c r="AI98" s="227">
        <f>MIN(C98:AF98)</f>
        <v>0.94</v>
      </c>
    </row>
    <row r="99" spans="1:37" x14ac:dyDescent="0.25">
      <c r="A99" s="268" t="s">
        <v>103</v>
      </c>
      <c r="B99" s="282">
        <v>17.5</v>
      </c>
      <c r="C99" s="282">
        <v>11.1</v>
      </c>
      <c r="D99" s="282">
        <v>12.8</v>
      </c>
      <c r="E99" s="282">
        <v>10.1</v>
      </c>
      <c r="F99" s="282">
        <v>11</v>
      </c>
      <c r="G99" s="282">
        <v>13.3</v>
      </c>
      <c r="H99" s="282">
        <v>19.100000000000001</v>
      </c>
      <c r="I99" s="282"/>
      <c r="J99" s="282">
        <v>34.299999999999997</v>
      </c>
      <c r="K99" s="282">
        <v>29.6</v>
      </c>
      <c r="L99" s="282">
        <v>26.2</v>
      </c>
      <c r="M99" s="282">
        <v>31</v>
      </c>
      <c r="N99" s="282">
        <v>36.200000000000003</v>
      </c>
      <c r="O99" s="282">
        <v>14.4</v>
      </c>
      <c r="P99" s="282">
        <v>33.700000000000003</v>
      </c>
      <c r="Q99" s="282">
        <f>59.1+35.7</f>
        <v>94.800000000000011</v>
      </c>
      <c r="R99" s="282">
        <f>58.8+35.7</f>
        <v>94.5</v>
      </c>
      <c r="S99" s="282">
        <v>24.9</v>
      </c>
      <c r="T99" s="282">
        <v>25.9</v>
      </c>
      <c r="U99" s="282">
        <v>22.6</v>
      </c>
      <c r="V99" s="282">
        <v>22.6</v>
      </c>
      <c r="W99" s="282">
        <v>28.5</v>
      </c>
      <c r="X99" s="282">
        <v>26.1</v>
      </c>
      <c r="Y99" s="282">
        <v>21.3</v>
      </c>
      <c r="Z99" s="282">
        <v>29.2</v>
      </c>
      <c r="AA99" s="282">
        <v>29.2</v>
      </c>
      <c r="AB99" s="282">
        <v>35.1</v>
      </c>
      <c r="AC99" s="282">
        <v>35</v>
      </c>
      <c r="AD99" s="282">
        <v>30</v>
      </c>
      <c r="AE99" s="282">
        <v>28</v>
      </c>
      <c r="AF99" s="282">
        <v>26</v>
      </c>
      <c r="AG99" s="283">
        <v>75</v>
      </c>
      <c r="AH99" s="226">
        <f t="shared" ref="AH99:AH106" si="23">IF(ABS(MAX(C99:AF99))&gt;ABS(MIN(C99:AF99)),MAX(C99:AF99),MIN(C99:AF99))</f>
        <v>94.800000000000011</v>
      </c>
      <c r="AI99" s="284">
        <f t="shared" ref="AI99:AI106" si="24">INDEX($C$9:$AF$9,1,MATCH(AH99,C99:AF99,0))</f>
        <v>0.5</v>
      </c>
    </row>
    <row r="100" spans="1:37" x14ac:dyDescent="0.25">
      <c r="A100" s="271" t="s">
        <v>104</v>
      </c>
      <c r="B100" s="285">
        <v>-149.19999999999999</v>
      </c>
      <c r="C100" s="285">
        <v>-140.6</v>
      </c>
      <c r="D100" s="285">
        <v>-157.1</v>
      </c>
      <c r="E100" s="285">
        <v>-142</v>
      </c>
      <c r="F100" s="285">
        <v>-140</v>
      </c>
      <c r="G100" s="285">
        <v>-135</v>
      </c>
      <c r="H100" s="285">
        <v>-135</v>
      </c>
      <c r="I100" s="285"/>
      <c r="J100" s="285">
        <v>-136</v>
      </c>
      <c r="K100" s="285">
        <v>-85</v>
      </c>
      <c r="L100" s="285">
        <v>-80</v>
      </c>
      <c r="M100" s="285">
        <f>-33-35</f>
        <v>-68</v>
      </c>
      <c r="N100" s="285">
        <f>-41.4-44</f>
        <v>-85.4</v>
      </c>
      <c r="O100" s="285">
        <f>-27.4-30</f>
        <v>-57.4</v>
      </c>
      <c r="P100" s="285">
        <f>-62.6-65.1</f>
        <v>-127.69999999999999</v>
      </c>
      <c r="Q100" s="285">
        <f>-35.5-38</f>
        <v>-73.5</v>
      </c>
      <c r="R100" s="285">
        <f>-34-36.8</f>
        <v>-70.8</v>
      </c>
      <c r="S100" s="285">
        <f>-50-53.1</f>
        <v>-103.1</v>
      </c>
      <c r="T100" s="285">
        <f>-50-53.1</f>
        <v>-103.1</v>
      </c>
      <c r="U100" s="285">
        <v>-100</v>
      </c>
      <c r="V100" s="285">
        <v>-100</v>
      </c>
      <c r="W100" s="285">
        <v>-100</v>
      </c>
      <c r="X100" s="285">
        <f>-42.1-45.2</f>
        <v>-87.300000000000011</v>
      </c>
      <c r="Y100" s="285">
        <f>-45-47.5</f>
        <v>-92.5</v>
      </c>
      <c r="Z100" s="285">
        <v>-85</v>
      </c>
      <c r="AA100" s="285">
        <v>-85</v>
      </c>
      <c r="AB100" s="285">
        <v>-103.5</v>
      </c>
      <c r="AC100" s="285">
        <v>-116</v>
      </c>
      <c r="AD100" s="285">
        <v>-115</v>
      </c>
      <c r="AE100" s="285">
        <v>-128</v>
      </c>
      <c r="AF100" s="285">
        <v>-125</v>
      </c>
      <c r="AG100" s="283">
        <v>240</v>
      </c>
      <c r="AH100" s="226">
        <f t="shared" si="23"/>
        <v>-157.1</v>
      </c>
      <c r="AI100" s="284">
        <f t="shared" si="24"/>
        <v>8.3333333333333301E-2</v>
      </c>
    </row>
    <row r="101" spans="1:37" x14ac:dyDescent="0.25">
      <c r="A101" s="271" t="s">
        <v>105</v>
      </c>
      <c r="B101" s="285">
        <v>-3.9</v>
      </c>
      <c r="C101" s="285">
        <v>-2.4</v>
      </c>
      <c r="D101" s="285">
        <v>-5.4</v>
      </c>
      <c r="E101" s="285">
        <v>-3.9</v>
      </c>
      <c r="F101" s="285">
        <v>-6.1</v>
      </c>
      <c r="G101" s="285">
        <v>-3.2</v>
      </c>
      <c r="H101" s="285">
        <v>-2.2999999999999998</v>
      </c>
      <c r="I101" s="285"/>
      <c r="J101" s="285">
        <v>0</v>
      </c>
      <c r="K101" s="285">
        <v>8.3000000000000007</v>
      </c>
      <c r="L101" s="285">
        <v>11.7</v>
      </c>
      <c r="M101" s="285">
        <v>13.4</v>
      </c>
      <c r="N101" s="285">
        <v>11.1</v>
      </c>
      <c r="O101" s="285">
        <v>12.1</v>
      </c>
      <c r="P101" s="285">
        <v>4.5</v>
      </c>
      <c r="Q101" s="285">
        <v>7.9</v>
      </c>
      <c r="R101" s="285">
        <v>9</v>
      </c>
      <c r="S101" s="285">
        <v>8.1999999999999993</v>
      </c>
      <c r="T101" s="285">
        <v>8.1999999999999993</v>
      </c>
      <c r="U101" s="285">
        <v>8.4</v>
      </c>
      <c r="V101" s="285">
        <v>8.4</v>
      </c>
      <c r="W101" s="285">
        <v>7.2</v>
      </c>
      <c r="X101" s="285">
        <v>9.1</v>
      </c>
      <c r="Y101" s="285">
        <v>7.4</v>
      </c>
      <c r="Z101" s="285">
        <v>10.199999999999999</v>
      </c>
      <c r="AA101" s="285">
        <v>10.199999999999999</v>
      </c>
      <c r="AB101" s="285">
        <v>7.4</v>
      </c>
      <c r="AC101" s="285">
        <v>6</v>
      </c>
      <c r="AD101" s="285">
        <v>5</v>
      </c>
      <c r="AE101" s="285">
        <v>1</v>
      </c>
      <c r="AF101" s="285">
        <v>1</v>
      </c>
      <c r="AG101" s="283">
        <v>60</v>
      </c>
      <c r="AH101" s="226">
        <f t="shared" si="23"/>
        <v>13.4</v>
      </c>
      <c r="AI101" s="284">
        <f t="shared" si="24"/>
        <v>0.33333333333333331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/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0</v>
      </c>
      <c r="P102" s="287">
        <v>0</v>
      </c>
      <c r="Q102" s="287">
        <v>0</v>
      </c>
      <c r="R102" s="287">
        <v>0</v>
      </c>
      <c r="S102" s="287">
        <v>0</v>
      </c>
      <c r="T102" s="287">
        <v>0</v>
      </c>
      <c r="U102" s="287">
        <v>0</v>
      </c>
      <c r="V102" s="287">
        <v>0</v>
      </c>
      <c r="W102" s="287">
        <v>0</v>
      </c>
      <c r="X102" s="287">
        <v>0</v>
      </c>
      <c r="Y102" s="287">
        <v>50</v>
      </c>
      <c r="Z102" s="287">
        <v>51.1</v>
      </c>
      <c r="AA102" s="287">
        <v>51.1</v>
      </c>
      <c r="AB102" s="287">
        <v>49</v>
      </c>
      <c r="AC102" s="287">
        <v>19</v>
      </c>
      <c r="AD102" s="287">
        <v>25</v>
      </c>
      <c r="AE102" s="287">
        <v>0</v>
      </c>
      <c r="AF102" s="287">
        <v>0</v>
      </c>
      <c r="AG102" s="288">
        <v>120</v>
      </c>
      <c r="AH102" s="226">
        <f t="shared" si="23"/>
        <v>51.1</v>
      </c>
      <c r="AI102" s="284">
        <f t="shared" si="24"/>
        <v>0.79166666666666663</v>
      </c>
    </row>
    <row r="103" spans="1:37" x14ac:dyDescent="0.25">
      <c r="A103" s="286" t="s">
        <v>107</v>
      </c>
      <c r="B103" s="287">
        <v>31.3</v>
      </c>
      <c r="C103" s="287">
        <v>28.5</v>
      </c>
      <c r="D103" s="287">
        <v>33.5</v>
      </c>
      <c r="E103" s="287">
        <v>33.1</v>
      </c>
      <c r="F103" s="287">
        <v>30</v>
      </c>
      <c r="G103" s="287">
        <v>37</v>
      </c>
      <c r="H103" s="287">
        <v>30</v>
      </c>
      <c r="I103" s="287"/>
      <c r="J103" s="287">
        <v>2</v>
      </c>
      <c r="K103" s="287">
        <v>36</v>
      </c>
      <c r="L103" s="287">
        <v>57</v>
      </c>
      <c r="M103" s="287">
        <v>63</v>
      </c>
      <c r="N103" s="287">
        <v>41.4</v>
      </c>
      <c r="O103" s="287">
        <v>82.4</v>
      </c>
      <c r="P103" s="287">
        <v>26</v>
      </c>
      <c r="Q103" s="287">
        <v>59</v>
      </c>
      <c r="R103" s="287">
        <v>60.8</v>
      </c>
      <c r="S103" s="287">
        <v>48.7</v>
      </c>
      <c r="T103" s="287">
        <v>48.7</v>
      </c>
      <c r="U103" s="287">
        <v>31.6</v>
      </c>
      <c r="V103" s="287">
        <v>31.6</v>
      </c>
      <c r="W103" s="287">
        <v>20.7</v>
      </c>
      <c r="X103" s="287">
        <v>47.4</v>
      </c>
      <c r="Y103" s="287">
        <v>50.5</v>
      </c>
      <c r="Z103" s="287">
        <v>51.2</v>
      </c>
      <c r="AA103" s="287">
        <v>51.2</v>
      </c>
      <c r="AB103" s="287">
        <v>50</v>
      </c>
      <c r="AC103" s="287">
        <v>15</v>
      </c>
      <c r="AD103" s="287">
        <v>27</v>
      </c>
      <c r="AE103" s="287">
        <v>30</v>
      </c>
      <c r="AF103" s="287">
        <v>42</v>
      </c>
      <c r="AG103" s="288"/>
      <c r="AH103" s="226">
        <f t="shared" si="23"/>
        <v>82.4</v>
      </c>
      <c r="AI103" s="284">
        <f t="shared" si="24"/>
        <v>0.41666666666666702</v>
      </c>
    </row>
    <row r="104" spans="1:37" x14ac:dyDescent="0.25">
      <c r="A104" s="286" t="s">
        <v>108</v>
      </c>
      <c r="B104" s="287">
        <v>19.3</v>
      </c>
      <c r="C104" s="287">
        <v>56.5</v>
      </c>
      <c r="D104" s="287">
        <v>59.1</v>
      </c>
      <c r="E104" s="287">
        <v>50</v>
      </c>
      <c r="F104" s="287">
        <v>60</v>
      </c>
      <c r="G104" s="287">
        <v>56</v>
      </c>
      <c r="H104" s="287">
        <v>40</v>
      </c>
      <c r="I104" s="287"/>
      <c r="J104" s="287">
        <v>-60</v>
      </c>
      <c r="K104" s="287">
        <v>-16.5</v>
      </c>
      <c r="L104" s="287">
        <v>0</v>
      </c>
      <c r="M104" s="287">
        <v>7.1</v>
      </c>
      <c r="N104" s="287">
        <v>-19</v>
      </c>
      <c r="O104" s="287">
        <v>61.8</v>
      </c>
      <c r="P104" s="287">
        <v>-30</v>
      </c>
      <c r="Q104" s="287">
        <v>-38.200000000000003</v>
      </c>
      <c r="R104" s="287">
        <v>-7.7</v>
      </c>
      <c r="S104" s="287">
        <v>-9.5</v>
      </c>
      <c r="T104" s="287">
        <v>-9.5</v>
      </c>
      <c r="U104" s="287">
        <v>39</v>
      </c>
      <c r="V104" s="287">
        <v>39</v>
      </c>
      <c r="W104" s="287">
        <v>1.1000000000000001</v>
      </c>
      <c r="X104" s="287">
        <v>32.5</v>
      </c>
      <c r="Y104" s="287">
        <v>33.299999999999997</v>
      </c>
      <c r="Z104" s="287">
        <v>3.4</v>
      </c>
      <c r="AA104" s="287">
        <v>3.4</v>
      </c>
      <c r="AB104" s="287">
        <v>20</v>
      </c>
      <c r="AC104" s="287">
        <v>21</v>
      </c>
      <c r="AD104" s="287">
        <v>3</v>
      </c>
      <c r="AE104" s="287">
        <v>19</v>
      </c>
      <c r="AF104" s="287">
        <v>56</v>
      </c>
      <c r="AG104" s="289"/>
      <c r="AH104" s="226">
        <f t="shared" si="23"/>
        <v>61.8</v>
      </c>
      <c r="AI104" s="284">
        <f t="shared" si="24"/>
        <v>0.41666666666666702</v>
      </c>
    </row>
    <row r="105" spans="1:37" x14ac:dyDescent="0.25">
      <c r="A105" s="290" t="s">
        <v>109</v>
      </c>
      <c r="B105" s="274">
        <v>99.3</v>
      </c>
      <c r="C105" s="274">
        <v>101.9</v>
      </c>
      <c r="D105" s="274">
        <v>104.7</v>
      </c>
      <c r="E105" s="274">
        <v>110</v>
      </c>
      <c r="F105" s="274">
        <v>110</v>
      </c>
      <c r="G105" s="274">
        <v>109</v>
      </c>
      <c r="H105" s="274">
        <v>113</v>
      </c>
      <c r="I105" s="274"/>
      <c r="J105" s="274">
        <v>107</v>
      </c>
      <c r="K105" s="274">
        <v>108</v>
      </c>
      <c r="L105" s="274">
        <v>103</v>
      </c>
      <c r="M105" s="274">
        <v>103</v>
      </c>
      <c r="N105" s="274">
        <v>103</v>
      </c>
      <c r="O105" s="274">
        <v>102.1</v>
      </c>
      <c r="P105" s="274">
        <v>86.5</v>
      </c>
      <c r="Q105" s="274">
        <v>101</v>
      </c>
      <c r="R105" s="274">
        <v>106.8</v>
      </c>
      <c r="S105" s="274">
        <v>109.9</v>
      </c>
      <c r="T105" s="274">
        <v>109.9</v>
      </c>
      <c r="U105" s="274">
        <v>104.4</v>
      </c>
      <c r="V105" s="274">
        <v>104.4</v>
      </c>
      <c r="W105" s="274">
        <v>109</v>
      </c>
      <c r="X105" s="274">
        <v>108.4</v>
      </c>
      <c r="Y105" s="274">
        <v>97.1</v>
      </c>
      <c r="Z105" s="274">
        <v>97.1</v>
      </c>
      <c r="AA105" s="274">
        <v>97.1</v>
      </c>
      <c r="AB105" s="274">
        <v>98.8</v>
      </c>
      <c r="AC105" s="274">
        <v>57</v>
      </c>
      <c r="AD105" s="274">
        <v>64</v>
      </c>
      <c r="AE105" s="274">
        <v>106</v>
      </c>
      <c r="AF105" s="274">
        <v>118</v>
      </c>
      <c r="AG105" s="289"/>
      <c r="AH105" s="226">
        <f t="shared" si="23"/>
        <v>118</v>
      </c>
      <c r="AI105" s="284">
        <f t="shared" si="24"/>
        <v>0.95833333333333304</v>
      </c>
    </row>
    <row r="106" spans="1:37" ht="15.75" thickBot="1" x14ac:dyDescent="0.3">
      <c r="A106" s="290" t="s">
        <v>110</v>
      </c>
      <c r="B106" s="274">
        <v>98.2</v>
      </c>
      <c r="C106" s="274">
        <v>100.1</v>
      </c>
      <c r="D106" s="274">
        <v>99.2</v>
      </c>
      <c r="E106" s="274">
        <v>100</v>
      </c>
      <c r="F106" s="274">
        <v>89</v>
      </c>
      <c r="G106" s="274">
        <v>80</v>
      </c>
      <c r="H106" s="274">
        <v>86</v>
      </c>
      <c r="I106" s="274"/>
      <c r="J106" s="274">
        <v>98</v>
      </c>
      <c r="K106" s="274">
        <v>60</v>
      </c>
      <c r="L106" s="274">
        <v>49</v>
      </c>
      <c r="M106" s="274">
        <v>44</v>
      </c>
      <c r="N106" s="274">
        <v>67.3</v>
      </c>
      <c r="O106" s="274">
        <v>33.700000000000003</v>
      </c>
      <c r="P106" s="274">
        <v>91</v>
      </c>
      <c r="Q106" s="274">
        <v>84</v>
      </c>
      <c r="R106" s="274">
        <v>52.6</v>
      </c>
      <c r="S106" s="274">
        <v>68.5</v>
      </c>
      <c r="T106" s="274">
        <v>68.5</v>
      </c>
      <c r="U106" s="274">
        <v>64</v>
      </c>
      <c r="V106" s="274">
        <v>65</v>
      </c>
      <c r="W106" s="274">
        <v>73.2</v>
      </c>
      <c r="X106" s="274">
        <v>54.6</v>
      </c>
      <c r="Y106" s="274">
        <v>56.9</v>
      </c>
      <c r="Z106" s="274"/>
      <c r="AA106" s="274"/>
      <c r="AB106" s="274"/>
      <c r="AC106" s="274"/>
      <c r="AD106" s="274">
        <v>75</v>
      </c>
      <c r="AE106" s="274">
        <v>77</v>
      </c>
      <c r="AF106" s="274">
        <v>75</v>
      </c>
      <c r="AG106" s="289"/>
      <c r="AH106" s="226">
        <f t="shared" si="23"/>
        <v>100.1</v>
      </c>
      <c r="AI106" s="284">
        <f t="shared" si="24"/>
        <v>4.1666666666666664E-2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>
        <v>83</v>
      </c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2165.04</v>
      </c>
      <c r="C230" s="333">
        <f>INDEX(G9:N9,1,MATCH(MAX(G79:N79),G79:N79,0))</f>
        <v>0.29166666666666669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11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2079/02/11)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2079/02/11)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1881.04</v>
      </c>
      <c r="U235" s="343">
        <f t="shared" si="31"/>
        <v>1843.04</v>
      </c>
      <c r="V235" s="343">
        <f t="shared" si="31"/>
        <v>1852.64</v>
      </c>
      <c r="W235" s="343">
        <f t="shared" si="31"/>
        <v>1837.14</v>
      </c>
      <c r="X235" s="343">
        <f t="shared" si="31"/>
        <v>1807.3400000000001</v>
      </c>
      <c r="Y235" s="343">
        <f t="shared" si="31"/>
        <v>1801.8400000000001</v>
      </c>
      <c r="Z235" s="343">
        <f t="shared" si="31"/>
        <v>1801.64</v>
      </c>
      <c r="AA235" s="343">
        <f t="shared" si="31"/>
        <v>841.54</v>
      </c>
      <c r="AB235" s="343">
        <f t="shared" si="31"/>
        <v>1734.84</v>
      </c>
      <c r="AC235" s="343">
        <f t="shared" si="31"/>
        <v>2165.04</v>
      </c>
      <c r="AD235" s="343">
        <f t="shared" si="31"/>
        <v>1761.44</v>
      </c>
      <c r="AE235" s="343">
        <f t="shared" si="31"/>
        <v>1791.24</v>
      </c>
      <c r="AF235" s="343">
        <f t="shared" si="31"/>
        <v>1872.74</v>
      </c>
      <c r="AG235" s="343">
        <f t="shared" si="31"/>
        <v>1783.94</v>
      </c>
      <c r="AH235" s="343">
        <f t="shared" si="31"/>
        <v>1862.54</v>
      </c>
      <c r="AI235" s="343">
        <f t="shared" si="31"/>
        <v>1809.74</v>
      </c>
      <c r="AJ235" s="343">
        <f t="shared" si="31"/>
        <v>1834.6399999999999</v>
      </c>
      <c r="AK235" s="343">
        <f t="shared" si="31"/>
        <v>1878.34</v>
      </c>
      <c r="AL235" s="343">
        <f t="shared" si="31"/>
        <v>1828.9399999999998</v>
      </c>
      <c r="AM235" s="343">
        <f t="shared" si="31"/>
        <v>1796.5399999999997</v>
      </c>
      <c r="AN235" s="343">
        <f t="shared" si="31"/>
        <v>1789.8399999999997</v>
      </c>
      <c r="AO235" s="343">
        <f t="shared" si="31"/>
        <v>1781.8399999999997</v>
      </c>
      <c r="AP235" s="343">
        <f t="shared" si="31"/>
        <v>1799.7399999999998</v>
      </c>
      <c r="AQ235" s="343">
        <f t="shared" si="31"/>
        <v>1779.7399999999998</v>
      </c>
      <c r="AR235" s="343">
        <f t="shared" si="31"/>
        <v>1582.84</v>
      </c>
      <c r="AS235" s="343">
        <f t="shared" si="31"/>
        <v>1872.6399999999999</v>
      </c>
      <c r="AT235" s="343">
        <f t="shared" si="31"/>
        <v>1857.34</v>
      </c>
      <c r="AU235" s="343">
        <f t="shared" si="31"/>
        <v>1856.54</v>
      </c>
      <c r="AV235" s="343">
        <f t="shared" si="31"/>
        <v>1864.3400000000001</v>
      </c>
      <c r="AW235" s="343">
        <f t="shared" si="31"/>
        <v>1833.94</v>
      </c>
      <c r="AX235" s="343">
        <f t="shared" si="31"/>
        <v>1775.94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5797" priority="233">
      <formula>B$9&gt;=20/24</formula>
    </cfRule>
    <cfRule type="expression" dxfId="5796" priority="234">
      <formula>AND(B$9&gt;=14/24,B$9&lt;20/24)</formula>
    </cfRule>
    <cfRule type="expression" dxfId="5795" priority="235">
      <formula>AND(B$9&gt;=8/24,B$9&lt;14/24)</formula>
    </cfRule>
    <cfRule type="expression" dxfId="5794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793" priority="228">
      <formula>S$9&gt;=20/24</formula>
    </cfRule>
    <cfRule type="expression" dxfId="5792" priority="229">
      <formula>AND(S$9&gt;=14/24,S$9&lt;20/24)</formula>
    </cfRule>
    <cfRule type="expression" dxfId="5791" priority="230">
      <formula>AND(S$9&gt;=8/24,S$9&lt;14/24)</formula>
    </cfRule>
    <cfRule type="expression" dxfId="5790" priority="231">
      <formula>S$9&lt;8/24</formula>
    </cfRule>
  </conditionalFormatting>
  <conditionalFormatting sqref="AG55 B12:C16 D11:AF16 S37:AF37 B35:AF35">
    <cfRule type="expression" dxfId="5789" priority="227">
      <formula>B11&gt;$AG11</formula>
    </cfRule>
  </conditionalFormatting>
  <conditionalFormatting sqref="A89:A102 A11:A14 A49:A76 A85:A87 A191:A221 A16:A30 A36:A47 A107:A178 A32:A33 A81:A83 A78:A79">
    <cfRule type="expression" dxfId="5788" priority="226">
      <formula>$AH11=0</formula>
    </cfRule>
  </conditionalFormatting>
  <conditionalFormatting sqref="A103">
    <cfRule type="expression" dxfId="5787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786" priority="223">
      <formula>$AH35=0</formula>
    </cfRule>
  </conditionalFormatting>
  <conditionalFormatting sqref="A88">
    <cfRule type="expression" dxfId="5785" priority="222">
      <formula>$AH88=0</formula>
    </cfRule>
  </conditionalFormatting>
  <conditionalFormatting sqref="A15">
    <cfRule type="expression" dxfId="5784" priority="221">
      <formula>$AH15=0</formula>
    </cfRule>
  </conditionalFormatting>
  <conditionalFormatting sqref="A185:A190">
    <cfRule type="expression" dxfId="5783" priority="220">
      <formula>$AH185=0</formula>
    </cfRule>
  </conditionalFormatting>
  <conditionalFormatting sqref="A179:A184">
    <cfRule type="expression" dxfId="5782" priority="219">
      <formula>$AH179=0</formula>
    </cfRule>
  </conditionalFormatting>
  <conditionalFormatting sqref="A48">
    <cfRule type="expression" dxfId="5781" priority="218">
      <formula>$AH48=0</formula>
    </cfRule>
  </conditionalFormatting>
  <conditionalFormatting sqref="A84">
    <cfRule type="expression" dxfId="5780" priority="217">
      <formula>$AH84=0</formula>
    </cfRule>
  </conditionalFormatting>
  <conditionalFormatting sqref="C89:AF89">
    <cfRule type="expression" dxfId="5779" priority="213">
      <formula>C$9&gt;=20/24</formula>
    </cfRule>
    <cfRule type="expression" dxfId="5778" priority="214">
      <formula>AND(C$9&gt;=14/24,C$9&lt;20/24)</formula>
    </cfRule>
    <cfRule type="expression" dxfId="5777" priority="215">
      <formula>AND(C$9&gt;=8/24,C$9&lt;14/24)</formula>
    </cfRule>
    <cfRule type="expression" dxfId="5776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75" priority="239">
      <formula>C$9&gt;=20/24</formula>
    </cfRule>
    <cfRule type="expression" dxfId="5774" priority="240">
      <formula>AND(C$9&gt;=14/24,C$9&lt;20/24)</formula>
    </cfRule>
    <cfRule type="expression" dxfId="5773" priority="241">
      <formula>AND(C$9&gt;=8/24,C$9&lt;14/24)</formula>
    </cfRule>
    <cfRule type="expression" dxfId="5772" priority="242">
      <formula>C$9&lt;8/24</formula>
    </cfRule>
  </conditionalFormatting>
  <conditionalFormatting sqref="A222">
    <cfRule type="expression" dxfId="5771" priority="243">
      <formula>$AH222=0</formula>
    </cfRule>
  </conditionalFormatting>
  <conditionalFormatting sqref="AG234">
    <cfRule type="expression" dxfId="5770" priority="244">
      <formula>B$9&gt;=20/24</formula>
    </cfRule>
    <cfRule type="expression" dxfId="5769" priority="245">
      <formula>AND(B$9&gt;=14/24,B$9&lt;20/24)</formula>
    </cfRule>
    <cfRule type="expression" dxfId="5768" priority="246">
      <formula>AND(B$9&gt;=8/24,B$9&lt;14/24)</formula>
    </cfRule>
    <cfRule type="expression" dxfId="5767" priority="247">
      <formula>B$9&lt;8/24</formula>
    </cfRule>
  </conditionalFormatting>
  <conditionalFormatting sqref="S8">
    <cfRule type="expression" dxfId="5766" priority="208">
      <formula>U$9&gt;=20/24</formula>
    </cfRule>
    <cfRule type="expression" dxfId="5765" priority="209">
      <formula>AND(U$9&gt;=14/24,U$9&lt;20/24)</formula>
    </cfRule>
    <cfRule type="expression" dxfId="5764" priority="210">
      <formula>AND(U$9&gt;=8/24,U$9&lt;14/24)</formula>
    </cfRule>
    <cfRule type="expression" dxfId="5763" priority="211">
      <formula>U$9&lt;8/24</formula>
    </cfRule>
  </conditionalFormatting>
  <conditionalFormatting sqref="AB8">
    <cfRule type="expression" dxfId="5762" priority="204">
      <formula>AD$9&gt;=20/24</formula>
    </cfRule>
    <cfRule type="expression" dxfId="5761" priority="205">
      <formula>AND(AD$9&gt;=14/24,AD$9&lt;20/24)</formula>
    </cfRule>
    <cfRule type="expression" dxfId="5760" priority="206">
      <formula>AND(AD$9&gt;=8/24,AD$9&lt;14/24)</formula>
    </cfRule>
    <cfRule type="expression" dxfId="5759" priority="207">
      <formula>AD$9&lt;8/24</formula>
    </cfRule>
  </conditionalFormatting>
  <conditionalFormatting sqref="AH234:AX234">
    <cfRule type="expression" dxfId="5758" priority="248">
      <formula>AG$9&gt;=20/24</formula>
    </cfRule>
    <cfRule type="expression" dxfId="5757" priority="249">
      <formula>AND(AG$9&gt;=14/24,AG$9&lt;20/24)</formula>
    </cfRule>
    <cfRule type="expression" dxfId="5756" priority="250">
      <formula>AND(AG$9&gt;=8/24,AG$9&lt;14/24)</formula>
    </cfRule>
    <cfRule type="expression" dxfId="5755" priority="251">
      <formula>AG$9&lt;8/24</formula>
    </cfRule>
  </conditionalFormatting>
  <conditionalFormatting sqref="T234">
    <cfRule type="expression" dxfId="5754" priority="252">
      <formula>AX$9&gt;=20/24</formula>
    </cfRule>
    <cfRule type="expression" dxfId="5753" priority="253">
      <formula>AND(AX$9&gt;=14/24,AX$9&lt;20/24)</formula>
    </cfRule>
    <cfRule type="expression" dxfId="5752" priority="254">
      <formula>AND(AX$9&gt;=8/24,AX$9&lt;14/24)</formula>
    </cfRule>
    <cfRule type="expression" dxfId="5751" priority="255">
      <formula>AX$9&lt;8/24</formula>
    </cfRule>
  </conditionalFormatting>
  <conditionalFormatting sqref="A104:A105">
    <cfRule type="expression" dxfId="5750" priority="203">
      <formula>$AH104=0</formula>
    </cfRule>
  </conditionalFormatting>
  <conditionalFormatting sqref="E44:P45 C61:AF61 AA36:AF36 S44:AF45">
    <cfRule type="expression" dxfId="5749" priority="199">
      <formula>C$9&gt;=20/24</formula>
    </cfRule>
    <cfRule type="expression" dxfId="5748" priority="200">
      <formula>AND(C$9&gt;=14/24,C$9&lt;20/24)</formula>
    </cfRule>
    <cfRule type="expression" dxfId="5747" priority="201">
      <formula>AND(C$9&gt;=8/24,C$9&lt;14/24)</formula>
    </cfRule>
    <cfRule type="expression" dxfId="5746" priority="202">
      <formula>C$9&lt;8/24</formula>
    </cfRule>
  </conditionalFormatting>
  <conditionalFormatting sqref="E43:P43 S43:AF43">
    <cfRule type="expression" dxfId="5745" priority="195">
      <formula>E$9&gt;=20/24</formula>
    </cfRule>
    <cfRule type="expression" dxfId="5744" priority="196">
      <formula>AND(E$9&gt;=14/24,E$9&lt;20/24)</formula>
    </cfRule>
    <cfRule type="expression" dxfId="5743" priority="197">
      <formula>AND(E$9&gt;=8/24,E$9&lt;14/24)</formula>
    </cfRule>
    <cfRule type="expression" dxfId="5742" priority="198">
      <formula>E$9&lt;8/24</formula>
    </cfRule>
  </conditionalFormatting>
  <conditionalFormatting sqref="E43:P45 AA36:AF36 S43:AF45">
    <cfRule type="expression" dxfId="5741" priority="194">
      <formula>E36&gt;$AG36</formula>
    </cfRule>
  </conditionalFormatting>
  <conditionalFormatting sqref="C86:AF86 C62:L63 C76:AF76 F66:L67 E64:L65 D59:R59 E57:R58 F71:P71 M62:P67 P37:R37 X36:Z36 S57:AF59 C90:AF96 AA12:AF14 AA16:AF16 AA28:AF30 AA18:AF22 AA24:AF26 AA32:AF32 Q62:AF71 E73:AF75">
    <cfRule type="expression" dxfId="5740" priority="190">
      <formula>C$9&gt;=20/24</formula>
    </cfRule>
    <cfRule type="expression" dxfId="5739" priority="191">
      <formula>AND(C$9&gt;=14/24,C$9&lt;20/24)</formula>
    </cfRule>
    <cfRule type="expression" dxfId="5738" priority="192">
      <formula>AND(C$9&gt;=8/24,C$9&lt;14/24)</formula>
    </cfRule>
    <cfRule type="expression" dxfId="5737" priority="193">
      <formula>C$9&lt;8/24</formula>
    </cfRule>
  </conditionalFormatting>
  <conditionalFormatting sqref="AA33:AF33">
    <cfRule type="expression" dxfId="5736" priority="186">
      <formula>AA$9&gt;=20/24</formula>
    </cfRule>
    <cfRule type="expression" dxfId="5735" priority="187">
      <formula>AND(AA$9&gt;=14/24,AA$9&lt;20/24)</formula>
    </cfRule>
    <cfRule type="expression" dxfId="5734" priority="188">
      <formula>AND(AA$9&gt;=8/24,AA$9&lt;14/24)</formula>
    </cfRule>
    <cfRule type="expression" dxfId="5733" priority="189">
      <formula>AA$9&lt;8/24</formula>
    </cfRule>
  </conditionalFormatting>
  <conditionalFormatting sqref="C55:AF55 D59:R59 E57:R58 H46:J46 K46:P48 C37:R37 X36:Z36 S57:AF59 AA18:AF22 AA24:AF30 AA32:AF33">
    <cfRule type="expression" dxfId="5732" priority="185">
      <formula>C18&gt;$AG18</formula>
    </cfRule>
  </conditionalFormatting>
  <conditionalFormatting sqref="X35:AF35">
    <cfRule type="expression" dxfId="5731" priority="181">
      <formula>X$9&gt;=20/24</formula>
    </cfRule>
    <cfRule type="expression" dxfId="5730" priority="182">
      <formula>AND(X$9&gt;=14/24,X$9&lt;20/24)</formula>
    </cfRule>
    <cfRule type="expression" dxfId="5729" priority="183">
      <formula>AND(X$9&gt;=8/24,X$9&lt;14/24)</formula>
    </cfRule>
    <cfRule type="expression" dxfId="5728" priority="184">
      <formula>X$9&lt;8/24</formula>
    </cfRule>
  </conditionalFormatting>
  <conditionalFormatting sqref="AA15:AF15">
    <cfRule type="expression" dxfId="5727" priority="177">
      <formula>AA$9&gt;=20/24</formula>
    </cfRule>
    <cfRule type="expression" dxfId="5726" priority="178">
      <formula>AND(AA$9&gt;=14/24,AA$9&lt;20/24)</formula>
    </cfRule>
    <cfRule type="expression" dxfId="5725" priority="179">
      <formula>AND(AA$9&gt;=8/24,AA$9&lt;14/24)</formula>
    </cfRule>
    <cfRule type="expression" dxfId="5724" priority="180">
      <formula>AA$9&lt;8/24</formula>
    </cfRule>
  </conditionalFormatting>
  <conditionalFormatting sqref="AA34:AF34">
    <cfRule type="expression" dxfId="5723" priority="173">
      <formula>AA$9&gt;=20/24</formula>
    </cfRule>
    <cfRule type="expression" dxfId="5722" priority="174">
      <formula>AND(AA$9&gt;=14/24,AA$9&lt;20/24)</formula>
    </cfRule>
    <cfRule type="expression" dxfId="5721" priority="175">
      <formula>AND(AA$9&gt;=8/24,AA$9&lt;14/24)</formula>
    </cfRule>
    <cfRule type="expression" dxfId="5720" priority="176">
      <formula>AA$9&lt;8/24</formula>
    </cfRule>
  </conditionalFormatting>
  <conditionalFormatting sqref="AA34:AF34">
    <cfRule type="expression" dxfId="5719" priority="172">
      <formula>AA34&gt;$AG34</formula>
    </cfRule>
  </conditionalFormatting>
  <conditionalFormatting sqref="Z46:AF47">
    <cfRule type="expression" dxfId="5718" priority="164">
      <formula>Z$9&gt;=20/24</formula>
    </cfRule>
    <cfRule type="expression" dxfId="5717" priority="165">
      <formula>AND(Z$9&gt;=14/24,Z$9&lt;20/24)</formula>
    </cfRule>
    <cfRule type="expression" dxfId="5716" priority="166">
      <formula>AND(Z$9&gt;=8/24,Z$9&lt;14/24)</formula>
    </cfRule>
    <cfRule type="expression" dxfId="5715" priority="167">
      <formula>Z$9&lt;8/24</formula>
    </cfRule>
  </conditionalFormatting>
  <conditionalFormatting sqref="Z46:AF47">
    <cfRule type="expression" dxfId="5714" priority="163">
      <formula>Z46&gt;$AG46</formula>
    </cfRule>
  </conditionalFormatting>
  <conditionalFormatting sqref="Q43:R54 S46:Y54 Z48:AF54">
    <cfRule type="expression" dxfId="5713" priority="159">
      <formula>Q$9&gt;=20/24</formula>
    </cfRule>
    <cfRule type="expression" dxfId="5712" priority="160">
      <formula>AND(Q$9&gt;=14/24,Q$9&lt;20/24)</formula>
    </cfRule>
    <cfRule type="expression" dxfId="5711" priority="161">
      <formula>AND(Q$9&gt;=8/24,Q$9&lt;14/24)</formula>
    </cfRule>
    <cfRule type="expression" dxfId="5710" priority="162">
      <formula>Q$9&lt;8/24</formula>
    </cfRule>
  </conditionalFormatting>
  <conditionalFormatting sqref="Q43:R54 S46:Y54 Z48:AF54">
    <cfRule type="expression" dxfId="5709" priority="158">
      <formula>Q43&gt;$AG43</formula>
    </cfRule>
  </conditionalFormatting>
  <conditionalFormatting sqref="AA27:AF27">
    <cfRule type="expression" dxfId="5708" priority="154">
      <formula>AA$9&gt;=20/24</formula>
    </cfRule>
    <cfRule type="expression" dxfId="5707" priority="155">
      <formula>AND(AA$9&gt;=14/24,AA$9&lt;20/24)</formula>
    </cfRule>
    <cfRule type="expression" dxfId="5706" priority="156">
      <formula>AND(AA$9&gt;=8/24,AA$9&lt;14/24)</formula>
    </cfRule>
    <cfRule type="expression" dxfId="5705" priority="157">
      <formula>AA$9&lt;8/24</formula>
    </cfRule>
  </conditionalFormatting>
  <conditionalFormatting sqref="D11:Z12 AA17:AF17 AA23:AF23">
    <cfRule type="expression" dxfId="5704" priority="150">
      <formula>D$9&gt;=20/24</formula>
    </cfRule>
    <cfRule type="expression" dxfId="5703" priority="151">
      <formula>AND(D$9&gt;=14/24,D$9&lt;20/24)</formula>
    </cfRule>
    <cfRule type="expression" dxfId="5702" priority="152">
      <formula>AND(D$9&gt;=8/24,D$9&lt;14/24)</formula>
    </cfRule>
    <cfRule type="expression" dxfId="5701" priority="153">
      <formula>D$9&lt;8/24</formula>
    </cfRule>
  </conditionalFormatting>
  <conditionalFormatting sqref="AA17:AF17 AA23:AF23">
    <cfRule type="expression" dxfId="5700" priority="145">
      <formula>AA17&gt;$AG17</formula>
    </cfRule>
  </conditionalFormatting>
  <conditionalFormatting sqref="C44:D45">
    <cfRule type="expression" dxfId="5699" priority="128">
      <formula>C$9&gt;=20/24</formula>
    </cfRule>
    <cfRule type="expression" dxfId="5698" priority="129">
      <formula>AND(C$9&gt;=14/24,C$9&lt;20/24)</formula>
    </cfRule>
    <cfRule type="expression" dxfId="5697" priority="130">
      <formula>AND(C$9&gt;=8/24,C$9&lt;14/24)</formula>
    </cfRule>
    <cfRule type="expression" dxfId="5696" priority="131">
      <formula>C$9&lt;8/24</formula>
    </cfRule>
  </conditionalFormatting>
  <conditionalFormatting sqref="C43:D43">
    <cfRule type="expression" dxfId="5695" priority="124">
      <formula>C$9&gt;=20/24</formula>
    </cfRule>
    <cfRule type="expression" dxfId="5694" priority="125">
      <formula>AND(C$9&gt;=14/24,C$9&lt;20/24)</formula>
    </cfRule>
    <cfRule type="expression" dxfId="5693" priority="126">
      <formula>AND(C$9&gt;=8/24,C$9&lt;14/24)</formula>
    </cfRule>
    <cfRule type="expression" dxfId="5692" priority="127">
      <formula>C$9&lt;8/24</formula>
    </cfRule>
  </conditionalFormatting>
  <conditionalFormatting sqref="C43:D45">
    <cfRule type="expression" dxfId="5691" priority="123">
      <formula>C43&gt;$AG43</formula>
    </cfRule>
  </conditionalFormatting>
  <conditionalFormatting sqref="F69:L70 H68:L68 M68:P70">
    <cfRule type="expression" dxfId="5690" priority="119">
      <formula>F$9&gt;=20/24</formula>
    </cfRule>
    <cfRule type="expression" dxfId="5689" priority="120">
      <formula>AND(F$9&gt;=14/24,F$9&lt;20/24)</formula>
    </cfRule>
    <cfRule type="expression" dxfId="5688" priority="121">
      <formula>AND(F$9&gt;=8/24,F$9&lt;14/24)</formula>
    </cfRule>
    <cfRule type="expression" dxfId="5687" priority="122">
      <formula>F$9&lt;8/24</formula>
    </cfRule>
  </conditionalFormatting>
  <conditionalFormatting sqref="C46:G47 H47:J47">
    <cfRule type="expression" dxfId="5686" priority="118">
      <formula>C46&gt;$AG46</formula>
    </cfRule>
  </conditionalFormatting>
  <conditionalFormatting sqref="C48:J49 K49:P54">
    <cfRule type="expression" dxfId="5685" priority="114">
      <formula>C$9&gt;=20/24</formula>
    </cfRule>
    <cfRule type="expression" dxfId="5684" priority="115">
      <formula>AND(C$9&gt;=14/24,C$9&lt;20/24)</formula>
    </cfRule>
    <cfRule type="expression" dxfId="5683" priority="116">
      <formula>AND(C$9&gt;=8/24,C$9&lt;14/24)</formula>
    </cfRule>
    <cfRule type="expression" dxfId="5682" priority="117">
      <formula>C$9&lt;8/24</formula>
    </cfRule>
  </conditionalFormatting>
  <conditionalFormatting sqref="C48:J49 K49:P54">
    <cfRule type="expression" dxfId="5681" priority="113">
      <formula>C48&gt;$AG48</formula>
    </cfRule>
  </conditionalFormatting>
  <conditionalFormatting sqref="B99:B105 B78:AF78 B87:AF87 B11:C11">
    <cfRule type="expression" dxfId="5680" priority="100">
      <formula>B$9&gt;=20/24</formula>
    </cfRule>
    <cfRule type="expression" dxfId="5679" priority="101">
      <formula>AND(B$9&gt;=14/24,B$9&lt;20/24)</formula>
    </cfRule>
    <cfRule type="expression" dxfId="5678" priority="102">
      <formula>AND(B$9&gt;=8/24,B$9&lt;14/24)</formula>
    </cfRule>
    <cfRule type="expression" dxfId="5677" priority="103">
      <formula>B$9&lt;8/24</formula>
    </cfRule>
  </conditionalFormatting>
  <conditionalFormatting sqref="B37">
    <cfRule type="expression" dxfId="5676" priority="96">
      <formula>B$9&gt;=20/24</formula>
    </cfRule>
    <cfRule type="expression" dxfId="5675" priority="97">
      <formula>AND(B$9&gt;=14/24,B$9&lt;20/24)</formula>
    </cfRule>
    <cfRule type="expression" dxfId="5674" priority="98">
      <formula>AND(B$9&gt;=8/24,B$9&lt;14/24)</formula>
    </cfRule>
    <cfRule type="expression" dxfId="5673" priority="99">
      <formula>B$9&lt;8/24</formula>
    </cfRule>
  </conditionalFormatting>
  <conditionalFormatting sqref="B37 B11:C11">
    <cfRule type="expression" dxfId="5672" priority="95">
      <formula>B11&gt;$AG11</formula>
    </cfRule>
  </conditionalFormatting>
  <conditionalFormatting sqref="B89">
    <cfRule type="expression" dxfId="5671" priority="91">
      <formula>B$9&gt;=20/24</formula>
    </cfRule>
    <cfRule type="expression" dxfId="5670" priority="92">
      <formula>AND(B$9&gt;=14/24,B$9&lt;20/24)</formula>
    </cfRule>
    <cfRule type="expression" dxfId="5669" priority="93">
      <formula>AND(B$9&gt;=8/24,B$9&lt;14/24)</formula>
    </cfRule>
    <cfRule type="expression" dxfId="5668" priority="94">
      <formula>B$9&lt;8/24</formula>
    </cfRule>
  </conditionalFormatting>
  <conditionalFormatting sqref="B44:B45 B61 B36:W36">
    <cfRule type="expression" dxfId="5667" priority="87">
      <formula>B$9&gt;=20/24</formula>
    </cfRule>
    <cfRule type="expression" dxfId="5666" priority="88">
      <formula>AND(B$9&gt;=14/24,B$9&lt;20/24)</formula>
    </cfRule>
    <cfRule type="expression" dxfId="5665" priority="89">
      <formula>AND(B$9&gt;=8/24,B$9&lt;14/24)</formula>
    </cfRule>
    <cfRule type="expression" dxfId="5664" priority="90">
      <formula>B$9&lt;8/24</formula>
    </cfRule>
  </conditionalFormatting>
  <conditionalFormatting sqref="B43">
    <cfRule type="expression" dxfId="5663" priority="83">
      <formula>B$9&gt;=20/24</formula>
    </cfRule>
    <cfRule type="expression" dxfId="5662" priority="84">
      <formula>AND(B$9&gt;=14/24,B$9&lt;20/24)</formula>
    </cfRule>
    <cfRule type="expression" dxfId="5661" priority="85">
      <formula>AND(B$9&gt;=8/24,B$9&lt;14/24)</formula>
    </cfRule>
    <cfRule type="expression" dxfId="5660" priority="86">
      <formula>B$9&lt;8/24</formula>
    </cfRule>
  </conditionalFormatting>
  <conditionalFormatting sqref="B43:B45 B36:W36">
    <cfRule type="expression" dxfId="5659" priority="82">
      <formula>B36&gt;$AG36</formula>
    </cfRule>
  </conditionalFormatting>
  <conditionalFormatting sqref="B90:B96 B57:B60 B62:B71 B73:B77 B79:AF79 B86 C60:AG60 C77:AG77 B88:AF88 B12:C14 C57:C59 D57:D58 C64:D71 C73:D75 E66:E71 F68:G68 D13:Z14 B16:Z16 B28:Z30 B18:Z22 B24:Z26 B32:Z32">
    <cfRule type="expression" dxfId="5658" priority="78">
      <formula>B$9&gt;=20/24</formula>
    </cfRule>
    <cfRule type="expression" dxfId="5657" priority="79">
      <formula>AND(B$9&gt;=14/24,B$9&lt;20/24)</formula>
    </cfRule>
    <cfRule type="expression" dxfId="5656" priority="80">
      <formula>AND(B$9&gt;=8/24,B$9&lt;14/24)</formula>
    </cfRule>
    <cfRule type="expression" dxfId="5655" priority="81">
      <formula>B$9&lt;8/24</formula>
    </cfRule>
  </conditionalFormatting>
  <conditionalFormatting sqref="B33:Z33">
    <cfRule type="expression" dxfId="5654" priority="74">
      <formula>B$9&gt;=20/24</formula>
    </cfRule>
    <cfRule type="expression" dxfId="5653" priority="75">
      <formula>AND(B$9&gt;=14/24,B$9&lt;20/24)</formula>
    </cfRule>
    <cfRule type="expression" dxfId="5652" priority="76">
      <formula>AND(B$9&gt;=8/24,B$9&lt;14/24)</formula>
    </cfRule>
    <cfRule type="expression" dxfId="5651" priority="77">
      <formula>B$9&lt;8/24</formula>
    </cfRule>
  </conditionalFormatting>
  <conditionalFormatting sqref="B46:B47 B55:B60 B38:AG38 C56:AG56 C60:AG60 C57:C59 D57:D58 B18:Z22 B24:Z30 B32:Z33">
    <cfRule type="expression" dxfId="5650" priority="73">
      <formula>B18&gt;$AG18</formula>
    </cfRule>
  </conditionalFormatting>
  <conditionalFormatting sqref="B35:W35">
    <cfRule type="expression" dxfId="5649" priority="69">
      <formula>B$9&gt;=20/24</formula>
    </cfRule>
    <cfRule type="expression" dxfId="5648" priority="70">
      <formula>AND(B$9&gt;=14/24,B$9&lt;20/24)</formula>
    </cfRule>
    <cfRule type="expression" dxfId="5647" priority="71">
      <formula>AND(B$9&gt;=8/24,B$9&lt;14/24)</formula>
    </cfRule>
    <cfRule type="expression" dxfId="5646" priority="72">
      <formula>B$9&lt;8/24</formula>
    </cfRule>
  </conditionalFormatting>
  <conditionalFormatting sqref="B15:Z15">
    <cfRule type="expression" dxfId="5645" priority="65">
      <formula>B$9&gt;=20/24</formula>
    </cfRule>
    <cfRule type="expression" dxfId="5644" priority="66">
      <formula>AND(B$9&gt;=14/24,B$9&lt;20/24)</formula>
    </cfRule>
    <cfRule type="expression" dxfId="5643" priority="67">
      <formula>AND(B$9&gt;=8/24,B$9&lt;14/24)</formula>
    </cfRule>
    <cfRule type="expression" dxfId="5642" priority="68">
      <formula>B$9&lt;8/24</formula>
    </cfRule>
  </conditionalFormatting>
  <conditionalFormatting sqref="B34:Z34">
    <cfRule type="expression" dxfId="5641" priority="61">
      <formula>B$9&gt;=20/24</formula>
    </cfRule>
    <cfRule type="expression" dxfId="5640" priority="62">
      <formula>AND(B$9&gt;=14/24,B$9&lt;20/24)</formula>
    </cfRule>
    <cfRule type="expression" dxfId="5639" priority="63">
      <formula>AND(B$9&gt;=8/24,B$9&lt;14/24)</formula>
    </cfRule>
    <cfRule type="expression" dxfId="5638" priority="64">
      <formula>B$9&lt;8/24</formula>
    </cfRule>
  </conditionalFormatting>
  <conditionalFormatting sqref="B34:Z34">
    <cfRule type="expression" dxfId="5637" priority="60">
      <formula>B34&gt;$AG34</formula>
    </cfRule>
  </conditionalFormatting>
  <conditionalFormatting sqref="B48:B54 C50:J54">
    <cfRule type="expression" dxfId="5636" priority="56">
      <formula>B$9&gt;=20/24</formula>
    </cfRule>
    <cfRule type="expression" dxfId="5635" priority="57">
      <formula>AND(B$9&gt;=14/24,B$9&lt;20/24)</formula>
    </cfRule>
    <cfRule type="expression" dxfId="5634" priority="58">
      <formula>AND(B$9&gt;=8/24,B$9&lt;14/24)</formula>
    </cfRule>
    <cfRule type="expression" dxfId="5633" priority="59">
      <formula>B$9&lt;8/24</formula>
    </cfRule>
  </conditionalFormatting>
  <conditionalFormatting sqref="B48:B54 C50:J54">
    <cfRule type="expression" dxfId="5632" priority="55">
      <formula>B48&gt;$AG48</formula>
    </cfRule>
  </conditionalFormatting>
  <conditionalFormatting sqref="B27:Z27">
    <cfRule type="expression" dxfId="5631" priority="51">
      <formula>B$9&gt;=20/24</formula>
    </cfRule>
    <cfRule type="expression" dxfId="5630" priority="52">
      <formula>AND(B$9&gt;=14/24,B$9&lt;20/24)</formula>
    </cfRule>
    <cfRule type="expression" dxfId="5629" priority="53">
      <formula>AND(B$9&gt;=8/24,B$9&lt;14/24)</formula>
    </cfRule>
    <cfRule type="expression" dxfId="5628" priority="54">
      <formula>B$9&lt;8/24</formula>
    </cfRule>
  </conditionalFormatting>
  <conditionalFormatting sqref="B17:Z17 B23:Z23">
    <cfRule type="expression" dxfId="5627" priority="47">
      <formula>B$9&gt;=20/24</formula>
    </cfRule>
    <cfRule type="expression" dxfId="5626" priority="48">
      <formula>AND(B$9&gt;=14/24,B$9&lt;20/24)</formula>
    </cfRule>
    <cfRule type="expression" dxfId="5625" priority="49">
      <formula>AND(B$9&gt;=8/24,B$9&lt;14/24)</formula>
    </cfRule>
    <cfRule type="expression" dxfId="5624" priority="50">
      <formula>B$9&lt;8/24</formula>
    </cfRule>
  </conditionalFormatting>
  <conditionalFormatting sqref="B17:Z17 B23:Z23">
    <cfRule type="expression" dxfId="5623" priority="46">
      <formula>B17&gt;$AG17</formula>
    </cfRule>
  </conditionalFormatting>
  <conditionalFormatting sqref="A34">
    <cfRule type="expression" dxfId="5622" priority="45">
      <formula>$AH34=0</formula>
    </cfRule>
  </conditionalFormatting>
  <conditionalFormatting sqref="B72:AF72">
    <cfRule type="expression" dxfId="5621" priority="41">
      <formula>B$9&gt;=20/24</formula>
    </cfRule>
    <cfRule type="expression" dxfId="5620" priority="42">
      <formula>AND(B$9&gt;=14/24,B$9&lt;20/24)</formula>
    </cfRule>
    <cfRule type="expression" dxfId="5619" priority="43">
      <formula>AND(B$9&gt;=8/24,B$9&lt;14/24)</formula>
    </cfRule>
    <cfRule type="expression" dxfId="5618" priority="44">
      <formula>B$9&lt;8/24</formula>
    </cfRule>
  </conditionalFormatting>
  <conditionalFormatting sqref="B81:AF85">
    <cfRule type="expression" dxfId="5617" priority="37">
      <formula>B$9&gt;=20/24</formula>
    </cfRule>
    <cfRule type="expression" dxfId="5616" priority="38">
      <formula>AND(B$9&gt;=14/24,B$9&lt;20/24)</formula>
    </cfRule>
    <cfRule type="expression" dxfId="5615" priority="39">
      <formula>AND(B$9&gt;=8/24,B$9&lt;14/24)</formula>
    </cfRule>
    <cfRule type="expression" dxfId="5614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5613" priority="33">
      <formula>E$9&gt;=20/24</formula>
    </cfRule>
    <cfRule type="expression" dxfId="5612" priority="34">
      <formula>AND(E$9&gt;=14/24,E$9&lt;20/24)</formula>
    </cfRule>
    <cfRule type="expression" dxfId="5611" priority="35">
      <formula>AND(E$9&gt;=8/24,E$9&lt;14/24)</formula>
    </cfRule>
    <cfRule type="expression" dxfId="5610" priority="36">
      <formula>E$9&lt;8/24</formula>
    </cfRule>
  </conditionalFormatting>
  <conditionalFormatting sqref="E39:AF41">
    <cfRule type="expression" dxfId="5609" priority="32">
      <formula>E39&gt;$AG39</formula>
    </cfRule>
  </conditionalFormatting>
  <conditionalFormatting sqref="B39:B42 C42:AG42 C39:D41">
    <cfRule type="expression" dxfId="5608" priority="28">
      <formula>B$9&gt;=20/24</formula>
    </cfRule>
    <cfRule type="expression" dxfId="5607" priority="29">
      <formula>AND(B$9&gt;=14/24,B$9&lt;20/24)</formula>
    </cfRule>
    <cfRule type="expression" dxfId="5606" priority="30">
      <formula>AND(B$9&gt;=8/24,B$9&lt;14/24)</formula>
    </cfRule>
    <cfRule type="expression" dxfId="5605" priority="31">
      <formula>B$9&lt;8/24</formula>
    </cfRule>
  </conditionalFormatting>
  <conditionalFormatting sqref="B39:B42 C42:AG42 C39:D41">
    <cfRule type="expression" dxfId="5604" priority="27">
      <formula>B39&gt;$AG39</formula>
    </cfRule>
  </conditionalFormatting>
  <conditionalFormatting sqref="C97:AF97">
    <cfRule type="expression" dxfId="5603" priority="23">
      <formula>C$9&gt;=20/24</formula>
    </cfRule>
    <cfRule type="expression" dxfId="5602" priority="24">
      <formula>AND(C$9&gt;=14/24,C$9&lt;20/24)</formula>
    </cfRule>
    <cfRule type="expression" dxfId="5601" priority="25">
      <formula>AND(C$9&gt;=8/24,C$9&lt;14/24)</formula>
    </cfRule>
    <cfRule type="expression" dxfId="5600" priority="26">
      <formula>C$9&lt;8/24</formula>
    </cfRule>
  </conditionalFormatting>
  <conditionalFormatting sqref="B97">
    <cfRule type="expression" dxfId="5599" priority="19">
      <formula>B$9&gt;=20/24</formula>
    </cfRule>
    <cfRule type="expression" dxfId="5598" priority="20">
      <formula>AND(B$9&gt;=14/24,B$9&lt;20/24)</formula>
    </cfRule>
    <cfRule type="expression" dxfId="5597" priority="21">
      <formula>AND(B$9&gt;=8/24,B$9&lt;14/24)</formula>
    </cfRule>
    <cfRule type="expression" dxfId="5596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595" priority="12">
      <formula>$AH31=0</formula>
    </cfRule>
  </conditionalFormatting>
  <conditionalFormatting sqref="A80">
    <cfRule type="expression" dxfId="5594" priority="10">
      <formula>$AH80=0</formula>
    </cfRule>
  </conditionalFormatting>
  <conditionalFormatting sqref="A77">
    <cfRule type="expression" dxfId="5593" priority="11">
      <formula>$AH77=0</formula>
    </cfRule>
  </conditionalFormatting>
  <conditionalFormatting sqref="A106">
    <cfRule type="expression" dxfId="5592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5A9A7F16-496D-41EF-82B3-EEF584FBF3D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B6B0B945-1C4C-448E-8B8A-09CAE651471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13311068-1A44-4FCB-BA12-6E28B3C2837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6F6F68BC-0B61-43CD-A541-7B3384255FF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058B0E41-A257-43E8-9F07-96BE41C52B9A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94CADCB5-9198-4AC1-BDCB-F24CA87A4F5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000D0DBD-C54A-40B8-97B2-9760CD23602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632F1725-C147-4F2E-B75C-E441725441F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E6DEB288-E86C-4453-B0D5-F612F2A72A9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481A30C1-EA05-4503-8362-815AC6B68B4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8AD23F0C-07EF-4611-AC21-00B0A7820E6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2114FE10-0A31-4C51-BADD-46AD3CF890E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1C752E1D-1EC8-4477-B734-3BF5734ACAE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CJ493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2079/02/12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33</v>
      </c>
      <c r="C5" s="205">
        <f t="shared" si="0"/>
        <v>35</v>
      </c>
      <c r="D5" s="205">
        <f t="shared" si="0"/>
        <v>12</v>
      </c>
      <c r="E5" s="205">
        <f t="shared" si="0"/>
        <v>12</v>
      </c>
      <c r="F5" s="205">
        <f t="shared" si="0"/>
        <v>5</v>
      </c>
      <c r="G5" s="205">
        <f t="shared" si="0"/>
        <v>2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41.7</v>
      </c>
      <c r="M5" s="205">
        <f t="shared" si="0"/>
        <v>69.900000000000006</v>
      </c>
      <c r="N5" s="205">
        <f t="shared" si="0"/>
        <v>17</v>
      </c>
      <c r="O5" s="205">
        <f t="shared" si="0"/>
        <v>25.3</v>
      </c>
      <c r="P5" s="205">
        <f t="shared" si="0"/>
        <v>25.3</v>
      </c>
      <c r="Q5" s="205">
        <f t="shared" si="0"/>
        <v>14.3</v>
      </c>
      <c r="R5" s="205">
        <f t="shared" si="0"/>
        <v>11.2</v>
      </c>
      <c r="S5" s="205">
        <f t="shared" si="0"/>
        <v>9.4</v>
      </c>
      <c r="T5" s="205">
        <f t="shared" si="0"/>
        <v>0</v>
      </c>
      <c r="U5" s="205">
        <f t="shared" si="0"/>
        <v>4.2</v>
      </c>
      <c r="V5" s="205">
        <f t="shared" si="0"/>
        <v>7.3</v>
      </c>
      <c r="W5" s="205">
        <f t="shared" si="0"/>
        <v>0</v>
      </c>
      <c r="X5" s="205">
        <f t="shared" si="0"/>
        <v>53.1</v>
      </c>
      <c r="Y5" s="205">
        <f t="shared" si="0"/>
        <v>63.6</v>
      </c>
      <c r="Z5" s="205">
        <f t="shared" si="0"/>
        <v>32</v>
      </c>
      <c r="AA5" s="205">
        <f t="shared" si="0"/>
        <v>0</v>
      </c>
      <c r="AB5" s="205">
        <f t="shared" si="0"/>
        <v>0</v>
      </c>
      <c r="AC5" s="205">
        <f t="shared" si="0"/>
        <v>2.7</v>
      </c>
      <c r="AD5" s="205">
        <f t="shared" si="0"/>
        <v>0</v>
      </c>
      <c r="AE5" s="205">
        <f t="shared" si="0"/>
        <v>0</v>
      </c>
      <c r="AF5" s="205">
        <f>B72</f>
        <v>30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1743MW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Load=1593</v>
      </c>
      <c r="B7" s="210">
        <f>B79</f>
        <v>1773.94</v>
      </c>
      <c r="C7" s="210">
        <f t="shared" ref="C7:AF7" si="1">C79</f>
        <v>1784.94</v>
      </c>
      <c r="D7" s="210">
        <f t="shared" si="1"/>
        <v>1781.94</v>
      </c>
      <c r="E7" s="210">
        <f t="shared" si="1"/>
        <v>1650.1399999999999</v>
      </c>
      <c r="F7" s="210">
        <f t="shared" si="1"/>
        <v>1650.1399999999999</v>
      </c>
      <c r="G7" s="210">
        <f t="shared" si="1"/>
        <v>1622.1399999999999</v>
      </c>
      <c r="H7" s="210">
        <f t="shared" si="1"/>
        <v>1593.1399999999999</v>
      </c>
      <c r="I7" s="210">
        <f t="shared" si="1"/>
        <v>1601.1399999999999</v>
      </c>
      <c r="J7" s="210">
        <f t="shared" si="1"/>
        <v>1595.1399999999999</v>
      </c>
      <c r="K7" s="210">
        <f t="shared" si="1"/>
        <v>1595.1399999999999</v>
      </c>
      <c r="L7" s="210">
        <f t="shared" si="1"/>
        <v>1657.1399999999999</v>
      </c>
      <c r="M7" s="210">
        <f t="shared" si="1"/>
        <v>1742.9399999999998</v>
      </c>
      <c r="N7" s="210">
        <f t="shared" si="1"/>
        <v>1679.24</v>
      </c>
      <c r="O7" s="210">
        <f t="shared" si="1"/>
        <v>1611.34</v>
      </c>
      <c r="P7" s="210">
        <f t="shared" si="1"/>
        <v>1714.1399999999996</v>
      </c>
      <c r="Q7" s="210">
        <f t="shared" si="1"/>
        <v>1714.1399999999996</v>
      </c>
      <c r="R7" s="210">
        <f t="shared" si="1"/>
        <v>1703.1399999999996</v>
      </c>
      <c r="S7" s="210">
        <f t="shared" si="1"/>
        <v>1729.5400000000002</v>
      </c>
      <c r="T7" s="210">
        <f t="shared" si="1"/>
        <v>1770.94</v>
      </c>
      <c r="U7" s="210">
        <f t="shared" si="1"/>
        <v>1760.1399999999999</v>
      </c>
      <c r="V7" s="210">
        <f t="shared" si="1"/>
        <v>1738.94</v>
      </c>
      <c r="W7" s="210">
        <f t="shared" si="1"/>
        <v>1742.1399999999999</v>
      </c>
      <c r="X7" s="210">
        <f t="shared" si="1"/>
        <v>1734.84</v>
      </c>
      <c r="Y7" s="210">
        <f t="shared" si="1"/>
        <v>1709.9399999999998</v>
      </c>
      <c r="Z7" s="210">
        <f t="shared" si="1"/>
        <v>1736.4399999999998</v>
      </c>
      <c r="AA7" s="210">
        <f t="shared" si="1"/>
        <v>1787.94</v>
      </c>
      <c r="AB7" s="210">
        <f t="shared" si="1"/>
        <v>1798.4399999999998</v>
      </c>
      <c r="AC7" s="210">
        <f t="shared" si="1"/>
        <v>1789.6399999999999</v>
      </c>
      <c r="AD7" s="210">
        <f t="shared" si="1"/>
        <v>1792.34</v>
      </c>
      <c r="AE7" s="210">
        <f t="shared" si="1"/>
        <v>1769.54</v>
      </c>
      <c r="AF7" s="210">
        <f t="shared" si="1"/>
        <v>1760.54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53.6</v>
      </c>
      <c r="C11" s="221">
        <v>53.6</v>
      </c>
      <c r="D11" s="221">
        <v>53.6</v>
      </c>
      <c r="E11" s="221">
        <v>53.6</v>
      </c>
      <c r="F11" s="221">
        <v>53.6</v>
      </c>
      <c r="G11" s="221">
        <v>53.6</v>
      </c>
      <c r="H11" s="221">
        <v>53.6</v>
      </c>
      <c r="I11" s="221">
        <v>53.6</v>
      </c>
      <c r="J11" s="221">
        <v>53.6</v>
      </c>
      <c r="K11" s="221">
        <v>53.6</v>
      </c>
      <c r="L11" s="221">
        <v>53.6</v>
      </c>
      <c r="M11" s="221">
        <v>53.6</v>
      </c>
      <c r="N11" s="221">
        <v>53.6</v>
      </c>
      <c r="O11" s="221">
        <v>53.6</v>
      </c>
      <c r="P11" s="221">
        <v>53.6</v>
      </c>
      <c r="Q11" s="221">
        <v>53.6</v>
      </c>
      <c r="R11" s="221">
        <v>53.6</v>
      </c>
      <c r="S11" s="224">
        <v>53.6</v>
      </c>
      <c r="T11" s="224">
        <v>53.6</v>
      </c>
      <c r="U11" s="224">
        <v>53.6</v>
      </c>
      <c r="V11" s="224">
        <v>53.6</v>
      </c>
      <c r="W11" s="224">
        <v>53.6</v>
      </c>
      <c r="X11" s="224">
        <v>53.6</v>
      </c>
      <c r="Y11" s="224">
        <v>53.6</v>
      </c>
      <c r="Z11" s="224">
        <v>53.6</v>
      </c>
      <c r="AA11" s="224">
        <v>53.6</v>
      </c>
      <c r="AB11" s="224">
        <v>53.4</v>
      </c>
      <c r="AC11" s="224">
        <v>53.4</v>
      </c>
      <c r="AD11" s="224">
        <v>53.4</v>
      </c>
      <c r="AE11" s="224">
        <v>53.4</v>
      </c>
      <c r="AF11" s="224">
        <v>53.5</v>
      </c>
      <c r="AG11" s="225">
        <v>52.4</v>
      </c>
      <c r="AH11" s="226">
        <f>MAX(B11:AF11)</f>
        <v>53.6</v>
      </c>
      <c r="AI11" s="227">
        <f>MIN(B11:AF11)</f>
        <v>53.4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50.4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50.4</v>
      </c>
      <c r="N12" s="221">
        <v>50.4</v>
      </c>
      <c r="O12" s="221">
        <v>50.4</v>
      </c>
      <c r="P12" s="221">
        <v>50.4</v>
      </c>
      <c r="Q12" s="221">
        <v>50.4</v>
      </c>
      <c r="R12" s="221">
        <v>50.4</v>
      </c>
      <c r="S12" s="221">
        <v>50.7</v>
      </c>
      <c r="T12" s="221">
        <v>50.7</v>
      </c>
      <c r="U12" s="221">
        <v>50.7</v>
      </c>
      <c r="V12" s="221">
        <v>50.7</v>
      </c>
      <c r="W12" s="221">
        <v>50.7</v>
      </c>
      <c r="X12" s="221">
        <v>50.7</v>
      </c>
      <c r="Y12" s="221">
        <v>50.7</v>
      </c>
      <c r="Z12" s="221">
        <v>50.7</v>
      </c>
      <c r="AA12" s="221">
        <v>50.7</v>
      </c>
      <c r="AB12" s="221">
        <v>50.2</v>
      </c>
      <c r="AC12" s="221">
        <v>50.2</v>
      </c>
      <c r="AD12" s="221">
        <v>50.2</v>
      </c>
      <c r="AE12" s="221">
        <v>50.1</v>
      </c>
      <c r="AF12" s="221">
        <v>50.7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50.1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45.8</v>
      </c>
      <c r="T13" s="221">
        <v>45.8</v>
      </c>
      <c r="U13" s="221">
        <v>45.8</v>
      </c>
      <c r="V13" s="221">
        <v>45.8</v>
      </c>
      <c r="W13" s="221">
        <v>45.8</v>
      </c>
      <c r="X13" s="221">
        <v>45.8</v>
      </c>
      <c r="Y13" s="221">
        <v>45.8</v>
      </c>
      <c r="Z13" s="221">
        <v>45.8</v>
      </c>
      <c r="AA13" s="221">
        <v>45.8</v>
      </c>
      <c r="AB13" s="221">
        <v>45.8</v>
      </c>
      <c r="AC13" s="221">
        <v>45.8</v>
      </c>
      <c r="AD13" s="221">
        <v>45.8</v>
      </c>
      <c r="AE13" s="221">
        <v>46</v>
      </c>
      <c r="AF13" s="221">
        <v>45.9</v>
      </c>
      <c r="AG13" s="229">
        <v>45</v>
      </c>
      <c r="AH13" s="226">
        <f t="shared" si="2"/>
        <v>46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27</v>
      </c>
      <c r="C14" s="221">
        <v>35</v>
      </c>
      <c r="D14" s="221">
        <v>30</v>
      </c>
      <c r="E14" s="221">
        <v>30</v>
      </c>
      <c r="F14" s="221">
        <v>30</v>
      </c>
      <c r="G14" s="221">
        <v>30</v>
      </c>
      <c r="H14" s="221">
        <v>30</v>
      </c>
      <c r="I14" s="221">
        <v>30</v>
      </c>
      <c r="J14" s="221">
        <v>30</v>
      </c>
      <c r="K14" s="221">
        <v>30</v>
      </c>
      <c r="L14" s="221">
        <v>30</v>
      </c>
      <c r="M14" s="221">
        <v>30</v>
      </c>
      <c r="N14" s="221">
        <v>40</v>
      </c>
      <c r="O14" s="221">
        <v>40</v>
      </c>
      <c r="P14" s="221">
        <v>26</v>
      </c>
      <c r="Q14" s="221">
        <v>26</v>
      </c>
      <c r="R14" s="221">
        <v>26</v>
      </c>
      <c r="S14" s="221">
        <v>26</v>
      </c>
      <c r="T14" s="221">
        <v>26</v>
      </c>
      <c r="U14" s="221">
        <v>26</v>
      </c>
      <c r="V14" s="221">
        <v>26</v>
      </c>
      <c r="W14" s="221">
        <v>26</v>
      </c>
      <c r="X14" s="221">
        <v>26</v>
      </c>
      <c r="Y14" s="221">
        <v>26</v>
      </c>
      <c r="Z14" s="221">
        <v>26</v>
      </c>
      <c r="AA14" s="221">
        <v>33</v>
      </c>
      <c r="AB14" s="221">
        <v>40</v>
      </c>
      <c r="AC14" s="221">
        <v>35</v>
      </c>
      <c r="AD14" s="221">
        <v>35</v>
      </c>
      <c r="AE14" s="221">
        <v>30</v>
      </c>
      <c r="AF14" s="221">
        <v>30</v>
      </c>
      <c r="AG14" s="229">
        <v>42</v>
      </c>
      <c r="AH14" s="226">
        <f t="shared" si="2"/>
        <v>40</v>
      </c>
      <c r="AI14" s="227">
        <f t="shared" si="3"/>
        <v>26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0</v>
      </c>
      <c r="M15" s="221">
        <v>5.7</v>
      </c>
      <c r="N15" s="221">
        <v>20</v>
      </c>
      <c r="O15" s="221">
        <v>5</v>
      </c>
      <c r="P15" s="221">
        <v>0</v>
      </c>
      <c r="Q15" s="221">
        <v>0</v>
      </c>
      <c r="R15" s="221">
        <v>0</v>
      </c>
      <c r="S15" s="221">
        <v>0</v>
      </c>
      <c r="T15" s="221">
        <v>30</v>
      </c>
      <c r="U15" s="221">
        <v>30</v>
      </c>
      <c r="V15" s="221">
        <v>0</v>
      </c>
      <c r="W15" s="221">
        <v>0</v>
      </c>
      <c r="X15" s="221">
        <v>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20</v>
      </c>
      <c r="AF15" s="221">
        <v>10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25.3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25.3</v>
      </c>
      <c r="N16" s="221">
        <v>25.3</v>
      </c>
      <c r="O16" s="221">
        <v>25.3</v>
      </c>
      <c r="P16" s="221">
        <v>25.3</v>
      </c>
      <c r="Q16" s="221">
        <v>25.3</v>
      </c>
      <c r="R16" s="221">
        <v>25.3</v>
      </c>
      <c r="S16" s="221">
        <v>24.3</v>
      </c>
      <c r="T16" s="221">
        <v>24.3</v>
      </c>
      <c r="U16" s="221">
        <v>24.3</v>
      </c>
      <c r="V16" s="221">
        <v>24.3</v>
      </c>
      <c r="W16" s="221">
        <v>24.3</v>
      </c>
      <c r="X16" s="221">
        <v>24.3</v>
      </c>
      <c r="Y16" s="221">
        <v>24.3</v>
      </c>
      <c r="Z16" s="221">
        <v>24.3</v>
      </c>
      <c r="AA16" s="221">
        <v>24.3</v>
      </c>
      <c r="AB16" s="221">
        <v>24.3</v>
      </c>
      <c r="AC16" s="221">
        <v>24.3</v>
      </c>
      <c r="AD16" s="221">
        <v>24.3</v>
      </c>
      <c r="AE16" s="221">
        <v>26.2</v>
      </c>
      <c r="AF16" s="221">
        <v>26.2</v>
      </c>
      <c r="AG16" s="229">
        <v>25</v>
      </c>
      <c r="AH16" s="226">
        <f t="shared" si="2"/>
        <v>26.2</v>
      </c>
      <c r="AI16" s="227">
        <f t="shared" si="3"/>
        <v>24.3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0</v>
      </c>
      <c r="I17" s="221">
        <v>0</v>
      </c>
      <c r="J17" s="221">
        <v>0</v>
      </c>
      <c r="K17" s="221">
        <v>0</v>
      </c>
      <c r="L17" s="221">
        <v>0</v>
      </c>
      <c r="M17" s="221">
        <v>0</v>
      </c>
      <c r="N17" s="221">
        <v>0</v>
      </c>
      <c r="O17" s="221">
        <v>0</v>
      </c>
      <c r="P17" s="221">
        <v>0</v>
      </c>
      <c r="Q17" s="221">
        <v>0</v>
      </c>
      <c r="R17" s="221">
        <v>0</v>
      </c>
      <c r="S17" s="221">
        <v>0</v>
      </c>
      <c r="T17" s="221">
        <v>0</v>
      </c>
      <c r="U17" s="221">
        <v>0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22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24.8</v>
      </c>
      <c r="C19" s="221">
        <v>24.8</v>
      </c>
      <c r="D19" s="221">
        <v>24.8</v>
      </c>
      <c r="E19" s="221">
        <v>25</v>
      </c>
      <c r="F19" s="221">
        <v>25</v>
      </c>
      <c r="G19" s="221">
        <v>25</v>
      </c>
      <c r="H19" s="221">
        <v>25</v>
      </c>
      <c r="I19" s="221">
        <v>25</v>
      </c>
      <c r="J19" s="221">
        <v>25</v>
      </c>
      <c r="K19" s="221">
        <v>25</v>
      </c>
      <c r="L19" s="221">
        <v>25</v>
      </c>
      <c r="M19" s="221">
        <v>25</v>
      </c>
      <c r="N19" s="221">
        <v>25</v>
      </c>
      <c r="O19" s="221">
        <v>25</v>
      </c>
      <c r="P19" s="221">
        <v>25</v>
      </c>
      <c r="Q19" s="221">
        <v>25</v>
      </c>
      <c r="R19" s="221">
        <v>25</v>
      </c>
      <c r="S19" s="221">
        <v>25</v>
      </c>
      <c r="T19" s="221">
        <v>33.200000000000003</v>
      </c>
      <c r="U19" s="221">
        <v>33.200000000000003</v>
      </c>
      <c r="V19" s="221">
        <v>25.4</v>
      </c>
      <c r="W19" s="221">
        <v>25.4</v>
      </c>
      <c r="X19" s="221">
        <v>25.4</v>
      </c>
      <c r="Y19" s="221">
        <v>25.4</v>
      </c>
      <c r="Z19" s="221">
        <v>25.4</v>
      </c>
      <c r="AA19" s="221">
        <v>25.4</v>
      </c>
      <c r="AB19" s="221">
        <v>25.4</v>
      </c>
      <c r="AC19" s="221">
        <v>25.4</v>
      </c>
      <c r="AD19" s="221">
        <v>25.4</v>
      </c>
      <c r="AE19" s="221">
        <v>25.4</v>
      </c>
      <c r="AF19" s="221">
        <v>25.4</v>
      </c>
      <c r="AG19" s="229">
        <v>24.2</v>
      </c>
      <c r="AH19" s="226">
        <f t="shared" si="2"/>
        <v>33.200000000000003</v>
      </c>
      <c r="AI19" s="227">
        <f t="shared" si="3"/>
        <v>24.8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23.4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0</v>
      </c>
      <c r="N25" s="221">
        <v>10</v>
      </c>
      <c r="O25" s="221">
        <v>10</v>
      </c>
      <c r="P25" s="221">
        <v>0</v>
      </c>
      <c r="Q25" s="221">
        <v>0</v>
      </c>
      <c r="R25" s="221">
        <v>0</v>
      </c>
      <c r="S25" s="221">
        <v>0</v>
      </c>
      <c r="T25" s="221">
        <v>5</v>
      </c>
      <c r="U25" s="221">
        <v>5</v>
      </c>
      <c r="V25" s="221">
        <v>0</v>
      </c>
      <c r="W25" s="221">
        <v>0</v>
      </c>
      <c r="X25" s="221">
        <v>0</v>
      </c>
      <c r="Y25" s="221">
        <v>2</v>
      </c>
      <c r="Z25" s="221">
        <v>18</v>
      </c>
      <c r="AA25" s="221">
        <v>20</v>
      </c>
      <c r="AB25" s="221">
        <v>20</v>
      </c>
      <c r="AC25" s="221">
        <v>15</v>
      </c>
      <c r="AD25" s="221">
        <v>15</v>
      </c>
      <c r="AE25" s="221">
        <v>5</v>
      </c>
      <c r="AF25" s="221">
        <v>5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0</v>
      </c>
      <c r="C29" s="221">
        <v>0</v>
      </c>
      <c r="D29" s="221">
        <v>0</v>
      </c>
      <c r="E29" s="221">
        <v>0</v>
      </c>
      <c r="F29" s="221">
        <v>0</v>
      </c>
      <c r="G29" s="221">
        <v>0</v>
      </c>
      <c r="H29" s="221">
        <v>0</v>
      </c>
      <c r="I29" s="221">
        <v>0</v>
      </c>
      <c r="J29" s="221">
        <v>0</v>
      </c>
      <c r="K29" s="221">
        <v>0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  <c r="Q29" s="221">
        <v>0</v>
      </c>
      <c r="R29" s="221">
        <v>0</v>
      </c>
      <c r="S29" s="221">
        <v>0</v>
      </c>
      <c r="T29" s="221">
        <v>0</v>
      </c>
      <c r="U29" s="221">
        <v>0</v>
      </c>
      <c r="V29" s="221">
        <v>0</v>
      </c>
      <c r="W29" s="221">
        <v>0</v>
      </c>
      <c r="X29" s="221">
        <v>0</v>
      </c>
      <c r="Y29" s="221">
        <v>0</v>
      </c>
      <c r="Z29" s="221">
        <v>0</v>
      </c>
      <c r="AA29" s="221">
        <v>6</v>
      </c>
      <c r="AB29" s="221">
        <v>6</v>
      </c>
      <c r="AC29" s="221">
        <v>6</v>
      </c>
      <c r="AD29" s="221">
        <v>6</v>
      </c>
      <c r="AE29" s="221">
        <v>6</v>
      </c>
      <c r="AF29" s="221">
        <v>6</v>
      </c>
      <c r="AG29" s="229">
        <v>12</v>
      </c>
      <c r="AH29" s="226">
        <f t="shared" si="2"/>
        <v>6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12</v>
      </c>
      <c r="F31" s="221">
        <v>12</v>
      </c>
      <c r="G31" s="221">
        <v>12</v>
      </c>
      <c r="H31" s="221">
        <v>12</v>
      </c>
      <c r="I31" s="221">
        <v>12</v>
      </c>
      <c r="J31" s="221">
        <v>12</v>
      </c>
      <c r="K31" s="221">
        <v>12</v>
      </c>
      <c r="L31" s="221">
        <v>12</v>
      </c>
      <c r="M31" s="221">
        <v>12</v>
      </c>
      <c r="N31" s="221">
        <v>12</v>
      </c>
      <c r="O31" s="221">
        <v>12</v>
      </c>
      <c r="P31" s="221">
        <v>12</v>
      </c>
      <c r="Q31" s="221">
        <v>12</v>
      </c>
      <c r="R31" s="221">
        <v>12</v>
      </c>
      <c r="S31" s="221">
        <v>12</v>
      </c>
      <c r="T31" s="221">
        <v>12</v>
      </c>
      <c r="U31" s="221">
        <v>12</v>
      </c>
      <c r="V31" s="221">
        <v>12</v>
      </c>
      <c r="W31" s="221">
        <v>12</v>
      </c>
      <c r="X31" s="221">
        <v>12</v>
      </c>
      <c r="Y31" s="221">
        <v>12</v>
      </c>
      <c r="Z31" s="221">
        <v>12</v>
      </c>
      <c r="AA31" s="221">
        <v>12</v>
      </c>
      <c r="AB31" s="221">
        <v>12</v>
      </c>
      <c r="AC31" s="221">
        <v>12</v>
      </c>
      <c r="AD31" s="221">
        <v>12</v>
      </c>
      <c r="AE31" s="221">
        <v>12</v>
      </c>
      <c r="AF31" s="221">
        <v>12</v>
      </c>
      <c r="AG31" s="231">
        <v>22</v>
      </c>
      <c r="AH31" s="226">
        <f>MAX(B31:AF31)</f>
        <v>12</v>
      </c>
      <c r="AI31" s="227">
        <f>MIN(B31:AF31)</f>
        <v>12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12.2</v>
      </c>
      <c r="C32" s="221">
        <v>12.2</v>
      </c>
      <c r="D32" s="221">
        <v>12.2</v>
      </c>
      <c r="E32" s="221">
        <v>12.2</v>
      </c>
      <c r="F32" s="221">
        <v>12.2</v>
      </c>
      <c r="G32" s="221">
        <v>12.2</v>
      </c>
      <c r="H32" s="221">
        <v>12.2</v>
      </c>
      <c r="I32" s="221">
        <v>12.2</v>
      </c>
      <c r="J32" s="221">
        <v>12.2</v>
      </c>
      <c r="K32" s="221">
        <v>12.2</v>
      </c>
      <c r="L32" s="221">
        <v>12.2</v>
      </c>
      <c r="M32" s="221">
        <v>12.2</v>
      </c>
      <c r="N32" s="221">
        <v>12.2</v>
      </c>
      <c r="O32" s="221">
        <v>12.2</v>
      </c>
      <c r="P32" s="221">
        <v>12.2</v>
      </c>
      <c r="Q32" s="221">
        <v>12.2</v>
      </c>
      <c r="R32" s="221">
        <v>12.2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12.2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9.4</v>
      </c>
      <c r="C34" s="221">
        <v>9.4</v>
      </c>
      <c r="D34" s="221">
        <v>9.4</v>
      </c>
      <c r="E34" s="221">
        <v>9.4</v>
      </c>
      <c r="F34" s="221">
        <v>9.4</v>
      </c>
      <c r="G34" s="221">
        <v>9.4</v>
      </c>
      <c r="H34" s="221">
        <v>9.4</v>
      </c>
      <c r="I34" s="221">
        <v>9.4</v>
      </c>
      <c r="J34" s="221">
        <v>9.4</v>
      </c>
      <c r="K34" s="221">
        <v>9.4</v>
      </c>
      <c r="L34" s="221">
        <v>9.4</v>
      </c>
      <c r="M34" s="221">
        <v>9.4</v>
      </c>
      <c r="N34" s="221">
        <v>9.4</v>
      </c>
      <c r="O34" s="221">
        <v>9.4</v>
      </c>
      <c r="P34" s="221">
        <v>9.4</v>
      </c>
      <c r="Q34" s="221">
        <v>9.4</v>
      </c>
      <c r="R34" s="221">
        <v>9.4</v>
      </c>
      <c r="S34" s="221">
        <v>9.4</v>
      </c>
      <c r="T34" s="221">
        <v>9.4</v>
      </c>
      <c r="U34" s="221">
        <v>9.4</v>
      </c>
      <c r="V34" s="221">
        <v>9.4</v>
      </c>
      <c r="W34" s="221">
        <v>9.4</v>
      </c>
      <c r="X34" s="221">
        <v>9.4</v>
      </c>
      <c r="Y34" s="221">
        <v>9.4</v>
      </c>
      <c r="Z34" s="221">
        <v>9.4</v>
      </c>
      <c r="AA34" s="221">
        <v>9.4</v>
      </c>
      <c r="AB34" s="221">
        <v>9.4</v>
      </c>
      <c r="AC34" s="221">
        <v>9.4</v>
      </c>
      <c r="AD34" s="221">
        <v>9.4</v>
      </c>
      <c r="AE34" s="221">
        <v>9.4</v>
      </c>
      <c r="AF34" s="221">
        <v>9.4</v>
      </c>
      <c r="AG34" s="235">
        <v>10</v>
      </c>
      <c r="AH34" s="226">
        <f t="shared" si="2"/>
        <v>9.4</v>
      </c>
      <c r="AI34" s="227">
        <f t="shared" si="3"/>
        <v>9.4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301</v>
      </c>
      <c r="T36" s="237">
        <v>301</v>
      </c>
      <c r="U36" s="237">
        <v>301</v>
      </c>
      <c r="V36" s="237">
        <v>301</v>
      </c>
      <c r="W36" s="237">
        <v>301</v>
      </c>
      <c r="X36" s="237">
        <v>301</v>
      </c>
      <c r="Y36" s="237">
        <v>301</v>
      </c>
      <c r="Z36" s="237">
        <v>301</v>
      </c>
      <c r="AA36" s="237">
        <v>301</v>
      </c>
      <c r="AB36" s="237">
        <v>301</v>
      </c>
      <c r="AC36" s="237">
        <v>301</v>
      </c>
      <c r="AD36" s="237">
        <v>301</v>
      </c>
      <c r="AE36" s="237">
        <v>301</v>
      </c>
      <c r="AF36" s="237">
        <v>301</v>
      </c>
      <c r="AG36" s="235">
        <v>85</v>
      </c>
      <c r="AH36" s="226">
        <f t="shared" si="2"/>
        <v>301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176</v>
      </c>
      <c r="C37" s="239">
        <v>176</v>
      </c>
      <c r="D37" s="239">
        <v>176</v>
      </c>
      <c r="E37" s="239">
        <v>176</v>
      </c>
      <c r="F37" s="239">
        <v>176</v>
      </c>
      <c r="G37" s="239">
        <v>176</v>
      </c>
      <c r="H37" s="239">
        <v>176</v>
      </c>
      <c r="I37" s="239">
        <v>176</v>
      </c>
      <c r="J37" s="239">
        <v>176</v>
      </c>
      <c r="K37" s="239">
        <v>176</v>
      </c>
      <c r="L37" s="239">
        <v>176</v>
      </c>
      <c r="M37" s="239">
        <v>176</v>
      </c>
      <c r="N37" s="239">
        <v>176</v>
      </c>
      <c r="O37" s="239">
        <f>82+96.3</f>
        <v>178.3</v>
      </c>
      <c r="P37" s="239">
        <f>82+96.3</f>
        <v>178.3</v>
      </c>
      <c r="Q37" s="239">
        <f>82+96.3</f>
        <v>178.3</v>
      </c>
      <c r="R37" s="239">
        <f>82+96.3</f>
        <v>178.3</v>
      </c>
      <c r="S37" s="239">
        <f>98.1+48.4</f>
        <v>146.5</v>
      </c>
      <c r="T37" s="239">
        <f>98.1+48.4</f>
        <v>146.5</v>
      </c>
      <c r="U37" s="239">
        <f>31.5+98.2</f>
        <v>129.69999999999999</v>
      </c>
      <c r="V37" s="239">
        <f>99.5+79.3</f>
        <v>178.8</v>
      </c>
      <c r="W37" s="239">
        <f>79.7+96.6</f>
        <v>176.3</v>
      </c>
      <c r="X37" s="239">
        <f>96.4+79.6</f>
        <v>176</v>
      </c>
      <c r="Y37" s="239">
        <f>99.3+79.3</f>
        <v>178.6</v>
      </c>
      <c r="Z37" s="239">
        <f>99.3+79.3</f>
        <v>178.6</v>
      </c>
      <c r="AA37" s="239">
        <v>180.7</v>
      </c>
      <c r="AB37" s="239">
        <f>80.9+100.3</f>
        <v>181.2</v>
      </c>
      <c r="AC37" s="239">
        <f>81.2+100.7</f>
        <v>181.9</v>
      </c>
      <c r="AD37" s="239">
        <f>81.3+101.2</f>
        <v>182.5</v>
      </c>
      <c r="AE37" s="239">
        <f>81.6+102.4</f>
        <v>184</v>
      </c>
      <c r="AF37" s="239">
        <f>81+101.2</f>
        <v>182.2</v>
      </c>
      <c r="AG37" s="235">
        <v>240</v>
      </c>
      <c r="AH37" s="226">
        <f t="shared" si="2"/>
        <v>184</v>
      </c>
      <c r="AI37" s="227">
        <f t="shared" si="3"/>
        <v>129.69999999999999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772</v>
      </c>
      <c r="C38" s="241">
        <f t="shared" si="4"/>
        <v>780</v>
      </c>
      <c r="D38" s="241">
        <f t="shared" si="4"/>
        <v>775</v>
      </c>
      <c r="E38" s="241">
        <f t="shared" si="4"/>
        <v>775.19999999999993</v>
      </c>
      <c r="F38" s="241">
        <f t="shared" si="4"/>
        <v>775.19999999999993</v>
      </c>
      <c r="G38" s="241">
        <f t="shared" si="4"/>
        <v>775.19999999999993</v>
      </c>
      <c r="H38" s="241">
        <f t="shared" si="4"/>
        <v>750.19999999999993</v>
      </c>
      <c r="I38" s="241">
        <f t="shared" si="4"/>
        <v>750.19999999999993</v>
      </c>
      <c r="J38" s="241">
        <f t="shared" si="4"/>
        <v>750.19999999999993</v>
      </c>
      <c r="K38" s="241">
        <f t="shared" si="4"/>
        <v>750.19999999999993</v>
      </c>
      <c r="L38" s="241">
        <f t="shared" si="4"/>
        <v>750.19999999999993</v>
      </c>
      <c r="M38" s="241">
        <f t="shared" si="4"/>
        <v>755.89999999999986</v>
      </c>
      <c r="N38" s="241">
        <f t="shared" si="4"/>
        <v>790.19999999999993</v>
      </c>
      <c r="O38" s="241">
        <f t="shared" si="4"/>
        <v>775.19999999999993</v>
      </c>
      <c r="P38" s="241">
        <f t="shared" si="4"/>
        <v>746.19999999999993</v>
      </c>
      <c r="Q38" s="241">
        <f t="shared" si="4"/>
        <v>746.19999999999993</v>
      </c>
      <c r="R38" s="241">
        <f t="shared" si="4"/>
        <v>746.19999999999993</v>
      </c>
      <c r="S38" s="241">
        <f t="shared" si="4"/>
        <v>747.9</v>
      </c>
      <c r="T38" s="241">
        <f t="shared" si="4"/>
        <v>791.09999999999991</v>
      </c>
      <c r="U38" s="241">
        <f t="shared" si="4"/>
        <v>791.09999999999991</v>
      </c>
      <c r="V38" s="241">
        <f t="shared" si="4"/>
        <v>771.3</v>
      </c>
      <c r="W38" s="241">
        <f t="shared" si="4"/>
        <v>771.3</v>
      </c>
      <c r="X38" s="241">
        <f t="shared" si="4"/>
        <v>771.3</v>
      </c>
      <c r="Y38" s="241">
        <f t="shared" si="4"/>
        <v>801.3</v>
      </c>
      <c r="Z38" s="241">
        <f t="shared" si="4"/>
        <v>817.3</v>
      </c>
      <c r="AA38" s="241">
        <f t="shared" si="4"/>
        <v>834.3</v>
      </c>
      <c r="AB38" s="241">
        <f t="shared" si="4"/>
        <v>840.59999999999991</v>
      </c>
      <c r="AC38" s="241">
        <f t="shared" si="4"/>
        <v>830.59999999999991</v>
      </c>
      <c r="AD38" s="241">
        <f t="shared" si="4"/>
        <v>830.59999999999991</v>
      </c>
      <c r="AE38" s="241">
        <f t="shared" si="4"/>
        <v>807.59999999999991</v>
      </c>
      <c r="AF38" s="241">
        <f t="shared" si="4"/>
        <v>795.19999999999982</v>
      </c>
      <c r="AG38" s="242">
        <f t="shared" si="4"/>
        <v>665.78</v>
      </c>
      <c r="AH38" s="226">
        <f t="shared" si="2"/>
        <v>840.59999999999991</v>
      </c>
      <c r="AI38" s="227">
        <f t="shared" si="3"/>
        <v>746.19999999999993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416</v>
      </c>
      <c r="F39" s="221">
        <v>416</v>
      </c>
      <c r="G39" s="221">
        <v>416</v>
      </c>
      <c r="H39" s="221">
        <v>416</v>
      </c>
      <c r="I39" s="221">
        <v>416</v>
      </c>
      <c r="J39" s="221">
        <v>416</v>
      </c>
      <c r="K39" s="221">
        <v>416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416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498</v>
      </c>
      <c r="F42" s="241">
        <f t="shared" si="5"/>
        <v>498</v>
      </c>
      <c r="G42" s="241">
        <f t="shared" si="5"/>
        <v>498</v>
      </c>
      <c r="H42" s="241">
        <f t="shared" si="5"/>
        <v>498</v>
      </c>
      <c r="I42" s="241">
        <f t="shared" si="5"/>
        <v>498</v>
      </c>
      <c r="J42" s="241">
        <f t="shared" si="5"/>
        <v>498</v>
      </c>
      <c r="K42" s="241">
        <f t="shared" si="5"/>
        <v>498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498</v>
      </c>
      <c r="AK42" s="228"/>
    </row>
    <row r="43" spans="1:88" x14ac:dyDescent="0.25">
      <c r="A43" s="220" t="s">
        <v>51</v>
      </c>
      <c r="B43" s="221">
        <v>143.5</v>
      </c>
      <c r="C43" s="221">
        <v>143.5</v>
      </c>
      <c r="D43" s="221">
        <v>143.5</v>
      </c>
      <c r="E43" s="221">
        <v>111</v>
      </c>
      <c r="F43" s="221">
        <v>111</v>
      </c>
      <c r="G43" s="221">
        <v>111</v>
      </c>
      <c r="H43" s="221">
        <v>111</v>
      </c>
      <c r="I43" s="221">
        <v>111</v>
      </c>
      <c r="J43" s="221">
        <v>111</v>
      </c>
      <c r="K43" s="221">
        <v>111</v>
      </c>
      <c r="L43" s="221">
        <v>90</v>
      </c>
      <c r="M43" s="221">
        <v>127</v>
      </c>
      <c r="N43" s="221">
        <v>0</v>
      </c>
      <c r="O43" s="221">
        <v>0</v>
      </c>
      <c r="P43" s="221">
        <v>123.5</v>
      </c>
      <c r="Q43" s="221">
        <v>123.5</v>
      </c>
      <c r="R43" s="221">
        <v>123.5</v>
      </c>
      <c r="S43" s="221">
        <v>138.6</v>
      </c>
      <c r="T43" s="221">
        <v>138.6</v>
      </c>
      <c r="U43" s="221">
        <v>137.19999999999999</v>
      </c>
      <c r="V43" s="221">
        <v>138</v>
      </c>
      <c r="W43" s="221">
        <v>138</v>
      </c>
      <c r="X43" s="221">
        <v>138</v>
      </c>
      <c r="Y43" s="221">
        <v>0</v>
      </c>
      <c r="Z43" s="221">
        <v>0</v>
      </c>
      <c r="AA43" s="221">
        <v>94.4</v>
      </c>
      <c r="AB43" s="221">
        <v>136.80000000000001</v>
      </c>
      <c r="AC43" s="221">
        <v>137.9</v>
      </c>
      <c r="AD43" s="221">
        <v>137.9</v>
      </c>
      <c r="AE43" s="221">
        <v>134.80000000000001</v>
      </c>
      <c r="AF43" s="221">
        <v>136.5</v>
      </c>
      <c r="AG43" s="230">
        <v>144</v>
      </c>
      <c r="AH43" s="226">
        <f t="shared" si="2"/>
        <v>143.5</v>
      </c>
      <c r="AI43" s="227">
        <f t="shared" si="3"/>
        <v>0</v>
      </c>
      <c r="AK43" s="228"/>
    </row>
    <row r="44" spans="1:88" x14ac:dyDescent="0.25">
      <c r="A44" s="234" t="s">
        <v>52</v>
      </c>
      <c r="B44" s="245">
        <v>72.3</v>
      </c>
      <c r="C44" s="245">
        <v>72.3</v>
      </c>
      <c r="D44" s="245">
        <v>72.3</v>
      </c>
      <c r="E44" s="245">
        <v>51</v>
      </c>
      <c r="F44" s="245">
        <v>51</v>
      </c>
      <c r="G44" s="245">
        <v>51</v>
      </c>
      <c r="H44" s="245">
        <v>51</v>
      </c>
      <c r="I44" s="245">
        <v>51</v>
      </c>
      <c r="J44" s="245">
        <v>51</v>
      </c>
      <c r="K44" s="245">
        <v>51</v>
      </c>
      <c r="L44" s="245">
        <v>70</v>
      </c>
      <c r="M44" s="245">
        <v>70.599999999999994</v>
      </c>
      <c r="N44" s="221">
        <v>71.2</v>
      </c>
      <c r="O44" s="221">
        <v>71.2</v>
      </c>
      <c r="P44" s="221">
        <v>71.2</v>
      </c>
      <c r="Q44" s="221">
        <v>71.2</v>
      </c>
      <c r="R44" s="221">
        <v>71.2</v>
      </c>
      <c r="S44" s="221">
        <v>70</v>
      </c>
      <c r="T44" s="221">
        <v>70</v>
      </c>
      <c r="U44" s="221">
        <v>70</v>
      </c>
      <c r="V44" s="221">
        <v>70</v>
      </c>
      <c r="W44" s="221">
        <v>70</v>
      </c>
      <c r="X44" s="221">
        <v>70</v>
      </c>
      <c r="Y44" s="221">
        <v>70</v>
      </c>
      <c r="Z44" s="221">
        <v>70</v>
      </c>
      <c r="AA44" s="245">
        <v>72.2</v>
      </c>
      <c r="AB44" s="245">
        <v>71.8</v>
      </c>
      <c r="AC44" s="245">
        <v>72.099999999999994</v>
      </c>
      <c r="AD44" s="245">
        <v>72.099999999999994</v>
      </c>
      <c r="AE44" s="245">
        <v>71.5</v>
      </c>
      <c r="AF44" s="245">
        <v>72.900000000000006</v>
      </c>
      <c r="AG44" s="235">
        <v>70</v>
      </c>
      <c r="AH44" s="226">
        <f t="shared" si="2"/>
        <v>72.900000000000006</v>
      </c>
      <c r="AI44" s="227">
        <f t="shared" si="3"/>
        <v>51</v>
      </c>
      <c r="AK44" s="228"/>
    </row>
    <row r="45" spans="1:88" x14ac:dyDescent="0.25">
      <c r="A45" s="234" t="s">
        <v>53</v>
      </c>
      <c r="B45" s="245">
        <v>64.900000000000006</v>
      </c>
      <c r="C45" s="245">
        <v>64.900000000000006</v>
      </c>
      <c r="D45" s="245">
        <v>64.900000000000006</v>
      </c>
      <c r="E45" s="245">
        <v>54</v>
      </c>
      <c r="F45" s="245">
        <v>54</v>
      </c>
      <c r="G45" s="245">
        <v>54</v>
      </c>
      <c r="H45" s="245">
        <v>54</v>
      </c>
      <c r="I45" s="245">
        <v>54</v>
      </c>
      <c r="J45" s="245">
        <v>54</v>
      </c>
      <c r="K45" s="245">
        <v>54</v>
      </c>
      <c r="L45" s="245">
        <v>62</v>
      </c>
      <c r="M45" s="245">
        <v>62.4</v>
      </c>
      <c r="N45" s="221">
        <v>62.2</v>
      </c>
      <c r="O45" s="221">
        <v>62.2</v>
      </c>
      <c r="P45" s="221">
        <v>62.2</v>
      </c>
      <c r="Q45" s="221">
        <v>62.2</v>
      </c>
      <c r="R45" s="221">
        <v>62.2</v>
      </c>
      <c r="S45" s="221">
        <v>63.1</v>
      </c>
      <c r="T45" s="221">
        <v>63.1</v>
      </c>
      <c r="U45" s="221">
        <v>63.1</v>
      </c>
      <c r="V45" s="221">
        <v>63.1</v>
      </c>
      <c r="W45" s="221">
        <v>63.1</v>
      </c>
      <c r="X45" s="221">
        <v>63.1</v>
      </c>
      <c r="Y45" s="221">
        <v>63.1</v>
      </c>
      <c r="Z45" s="221">
        <v>63.1</v>
      </c>
      <c r="AA45" s="245">
        <v>63.1</v>
      </c>
      <c r="AB45" s="245">
        <v>62.9</v>
      </c>
      <c r="AC45" s="245">
        <v>62.6</v>
      </c>
      <c r="AD45" s="245">
        <v>62.6</v>
      </c>
      <c r="AE45" s="245">
        <v>62.6</v>
      </c>
      <c r="AF45" s="245">
        <v>63.1</v>
      </c>
      <c r="AG45" s="235">
        <v>69</v>
      </c>
      <c r="AH45" s="226">
        <f t="shared" si="2"/>
        <v>64.900000000000006</v>
      </c>
      <c r="AI45" s="227">
        <f t="shared" si="3"/>
        <v>54</v>
      </c>
      <c r="AK45" s="228"/>
    </row>
    <row r="46" spans="1:88" x14ac:dyDescent="0.25">
      <c r="A46" s="234" t="s">
        <v>54</v>
      </c>
      <c r="B46" s="237">
        <v>61.5</v>
      </c>
      <c r="C46" s="237">
        <v>61.5</v>
      </c>
      <c r="D46" s="237">
        <v>61.5</v>
      </c>
      <c r="E46" s="237">
        <v>61</v>
      </c>
      <c r="F46" s="237">
        <v>61</v>
      </c>
      <c r="G46" s="237">
        <v>40</v>
      </c>
      <c r="H46" s="237">
        <v>40</v>
      </c>
      <c r="I46" s="237">
        <v>50</v>
      </c>
      <c r="J46" s="237">
        <v>44</v>
      </c>
      <c r="K46" s="237">
        <v>44</v>
      </c>
      <c r="L46" s="237">
        <v>60</v>
      </c>
      <c r="M46" s="237">
        <v>60.4</v>
      </c>
      <c r="N46" s="221">
        <v>60.4</v>
      </c>
      <c r="O46" s="221">
        <v>60.4</v>
      </c>
      <c r="P46" s="221">
        <v>60.4</v>
      </c>
      <c r="Q46" s="221">
        <v>60.4</v>
      </c>
      <c r="R46" s="221">
        <v>60.4</v>
      </c>
      <c r="S46" s="221">
        <v>60</v>
      </c>
      <c r="T46" s="221">
        <v>60</v>
      </c>
      <c r="U46" s="221">
        <v>60</v>
      </c>
      <c r="V46" s="221">
        <v>60</v>
      </c>
      <c r="W46" s="221">
        <v>60</v>
      </c>
      <c r="X46" s="221">
        <v>60</v>
      </c>
      <c r="Y46" s="221">
        <v>60</v>
      </c>
      <c r="Z46" s="221">
        <v>60</v>
      </c>
      <c r="AA46" s="245">
        <v>60.7</v>
      </c>
      <c r="AB46" s="237">
        <v>60.7</v>
      </c>
      <c r="AC46" s="237">
        <v>60.7</v>
      </c>
      <c r="AD46" s="237">
        <v>60.7</v>
      </c>
      <c r="AE46" s="237">
        <v>60.7</v>
      </c>
      <c r="AF46" s="237">
        <v>60.7</v>
      </c>
      <c r="AG46" s="235">
        <v>60</v>
      </c>
      <c r="AH46" s="226">
        <f t="shared" si="2"/>
        <v>61.5</v>
      </c>
      <c r="AI46" s="227">
        <f t="shared" si="3"/>
        <v>40</v>
      </c>
      <c r="AK46" s="228"/>
    </row>
    <row r="47" spans="1:88" x14ac:dyDescent="0.25">
      <c r="A47" s="234" t="s">
        <v>55</v>
      </c>
      <c r="B47" s="237">
        <v>28.6</v>
      </c>
      <c r="C47" s="237">
        <v>28.6</v>
      </c>
      <c r="D47" s="237">
        <v>28.6</v>
      </c>
      <c r="E47" s="237">
        <v>28</v>
      </c>
      <c r="F47" s="237">
        <v>28</v>
      </c>
      <c r="G47" s="237">
        <v>28</v>
      </c>
      <c r="H47" s="237">
        <v>28</v>
      </c>
      <c r="I47" s="237">
        <v>28</v>
      </c>
      <c r="J47" s="237">
        <v>28</v>
      </c>
      <c r="K47" s="237">
        <v>28</v>
      </c>
      <c r="L47" s="237">
        <v>28</v>
      </c>
      <c r="M47" s="237">
        <v>28</v>
      </c>
      <c r="N47" s="221">
        <v>28.4</v>
      </c>
      <c r="O47" s="221">
        <v>28.4</v>
      </c>
      <c r="P47" s="221">
        <v>28.4</v>
      </c>
      <c r="Q47" s="221">
        <v>28.4</v>
      </c>
      <c r="R47" s="221">
        <v>28.4</v>
      </c>
      <c r="S47" s="221">
        <v>30</v>
      </c>
      <c r="T47" s="221">
        <v>30</v>
      </c>
      <c r="U47" s="221">
        <v>30</v>
      </c>
      <c r="V47" s="221">
        <v>30</v>
      </c>
      <c r="W47" s="221">
        <v>30</v>
      </c>
      <c r="X47" s="221">
        <v>30</v>
      </c>
      <c r="Y47" s="221">
        <v>30</v>
      </c>
      <c r="Z47" s="221">
        <v>30</v>
      </c>
      <c r="AA47" s="245">
        <v>30</v>
      </c>
      <c r="AB47" s="237">
        <v>28.6</v>
      </c>
      <c r="AC47" s="237">
        <v>28.5</v>
      </c>
      <c r="AD47" s="237">
        <v>28.5</v>
      </c>
      <c r="AE47" s="237">
        <v>28.3</v>
      </c>
      <c r="AF47" s="237">
        <v>28.1</v>
      </c>
      <c r="AG47" s="235">
        <v>30</v>
      </c>
      <c r="AH47" s="226">
        <f t="shared" si="2"/>
        <v>30</v>
      </c>
      <c r="AI47" s="227">
        <f t="shared" si="3"/>
        <v>28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0</v>
      </c>
      <c r="N48" s="245">
        <v>0</v>
      </c>
      <c r="O48" s="245">
        <v>0</v>
      </c>
      <c r="P48" s="245">
        <v>0</v>
      </c>
      <c r="Q48" s="245">
        <v>0</v>
      </c>
      <c r="R48" s="245">
        <v>0</v>
      </c>
      <c r="S48" s="245">
        <v>8</v>
      </c>
      <c r="T48" s="245">
        <v>8</v>
      </c>
      <c r="U48" s="245">
        <v>8</v>
      </c>
      <c r="V48" s="245">
        <v>8</v>
      </c>
      <c r="W48" s="245">
        <v>8</v>
      </c>
      <c r="X48" s="245">
        <v>8</v>
      </c>
      <c r="Y48" s="245">
        <v>8</v>
      </c>
      <c r="Z48" s="245">
        <v>8</v>
      </c>
      <c r="AA48" s="221">
        <v>0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17.399999999999999</v>
      </c>
      <c r="C49" s="245">
        <v>17.399999999999999</v>
      </c>
      <c r="D49" s="245">
        <v>17.399999999999999</v>
      </c>
      <c r="E49" s="245">
        <v>17.399999999999999</v>
      </c>
      <c r="F49" s="245">
        <v>17.399999999999999</v>
      </c>
      <c r="G49" s="245">
        <v>17.399999999999999</v>
      </c>
      <c r="H49" s="245">
        <v>17.399999999999999</v>
      </c>
      <c r="I49" s="245">
        <v>17.399999999999999</v>
      </c>
      <c r="J49" s="245">
        <v>17.399999999999999</v>
      </c>
      <c r="K49" s="245">
        <v>17.399999999999999</v>
      </c>
      <c r="L49" s="245">
        <v>17.399999999999999</v>
      </c>
      <c r="M49" s="245">
        <v>17.399999999999999</v>
      </c>
      <c r="N49" s="245">
        <v>17.399999999999999</v>
      </c>
      <c r="O49" s="245">
        <v>17.399999999999999</v>
      </c>
      <c r="P49" s="245">
        <v>17.399999999999999</v>
      </c>
      <c r="Q49" s="245">
        <v>17.399999999999999</v>
      </c>
      <c r="R49" s="245">
        <v>17.399999999999999</v>
      </c>
      <c r="S49" s="245">
        <v>17.2</v>
      </c>
      <c r="T49" s="245">
        <v>17.2</v>
      </c>
      <c r="U49" s="245">
        <v>17.2</v>
      </c>
      <c r="V49" s="245">
        <v>17.2</v>
      </c>
      <c r="W49" s="245">
        <v>17.2</v>
      </c>
      <c r="X49" s="245">
        <v>17.2</v>
      </c>
      <c r="Y49" s="245">
        <v>17.2</v>
      </c>
      <c r="Z49" s="245">
        <v>17.2</v>
      </c>
      <c r="AA49" s="221">
        <v>17.3</v>
      </c>
      <c r="AB49" s="245">
        <v>17.399999999999999</v>
      </c>
      <c r="AC49" s="245">
        <v>17.3</v>
      </c>
      <c r="AD49" s="245">
        <v>17.3</v>
      </c>
      <c r="AE49" s="245">
        <v>17.399999999999999</v>
      </c>
      <c r="AF49" s="245">
        <v>17.399999999999999</v>
      </c>
      <c r="AG49" s="235">
        <v>24</v>
      </c>
      <c r="AH49" s="226">
        <f t="shared" si="2"/>
        <v>17.399999999999999</v>
      </c>
      <c r="AI49" s="227">
        <f t="shared" si="3"/>
        <v>17.2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45">
        <v>3</v>
      </c>
      <c r="U50" s="245">
        <v>3</v>
      </c>
      <c r="V50" s="245">
        <v>3</v>
      </c>
      <c r="W50" s="245">
        <v>3</v>
      </c>
      <c r="X50" s="245">
        <v>3</v>
      </c>
      <c r="Y50" s="245">
        <v>3</v>
      </c>
      <c r="Z50" s="245">
        <v>3</v>
      </c>
      <c r="AA50" s="221">
        <v>3</v>
      </c>
      <c r="AB50" s="245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</v>
      </c>
      <c r="C51" s="245">
        <v>13</v>
      </c>
      <c r="D51" s="245">
        <v>13</v>
      </c>
      <c r="E51" s="245">
        <v>13</v>
      </c>
      <c r="F51" s="245">
        <v>13</v>
      </c>
      <c r="G51" s="245">
        <v>13</v>
      </c>
      <c r="H51" s="245">
        <v>13</v>
      </c>
      <c r="I51" s="245">
        <v>13</v>
      </c>
      <c r="J51" s="245">
        <v>13</v>
      </c>
      <c r="K51" s="245">
        <v>13</v>
      </c>
      <c r="L51" s="245">
        <v>13</v>
      </c>
      <c r="M51" s="245">
        <v>13</v>
      </c>
      <c r="N51" s="245">
        <v>13</v>
      </c>
      <c r="O51" s="245">
        <v>13</v>
      </c>
      <c r="P51" s="245">
        <v>13</v>
      </c>
      <c r="Q51" s="245">
        <v>13</v>
      </c>
      <c r="R51" s="245">
        <v>13</v>
      </c>
      <c r="S51" s="245">
        <v>12.7</v>
      </c>
      <c r="T51" s="245">
        <v>12.7</v>
      </c>
      <c r="U51" s="245">
        <v>12.7</v>
      </c>
      <c r="V51" s="245">
        <v>12.7</v>
      </c>
      <c r="W51" s="245">
        <v>12.7</v>
      </c>
      <c r="X51" s="245">
        <v>12.7</v>
      </c>
      <c r="Y51" s="245">
        <v>12.7</v>
      </c>
      <c r="Z51" s="245">
        <v>12.7</v>
      </c>
      <c r="AA51" s="221">
        <v>12.7</v>
      </c>
      <c r="AB51" s="245">
        <v>12</v>
      </c>
      <c r="AC51" s="245">
        <v>12.3</v>
      </c>
      <c r="AD51" s="245">
        <v>12.3</v>
      </c>
      <c r="AE51" s="245">
        <v>12.3</v>
      </c>
      <c r="AF51" s="245">
        <v>12.3</v>
      </c>
      <c r="AG51" s="235">
        <v>14.1</v>
      </c>
      <c r="AH51" s="226">
        <f t="shared" si="2"/>
        <v>13</v>
      </c>
      <c r="AI51" s="227">
        <f t="shared" si="3"/>
        <v>12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10</v>
      </c>
      <c r="C52" s="245">
        <v>10</v>
      </c>
      <c r="D52" s="245">
        <v>10</v>
      </c>
      <c r="E52" s="245">
        <v>10</v>
      </c>
      <c r="F52" s="245">
        <v>10</v>
      </c>
      <c r="G52" s="245">
        <v>10</v>
      </c>
      <c r="H52" s="245">
        <v>9</v>
      </c>
      <c r="I52" s="245">
        <v>9</v>
      </c>
      <c r="J52" s="245">
        <v>9</v>
      </c>
      <c r="K52" s="245">
        <v>9</v>
      </c>
      <c r="L52" s="245">
        <v>9</v>
      </c>
      <c r="M52" s="245">
        <v>9</v>
      </c>
      <c r="N52" s="245">
        <v>9</v>
      </c>
      <c r="O52" s="245">
        <v>9</v>
      </c>
      <c r="P52" s="245">
        <v>9</v>
      </c>
      <c r="Q52" s="245">
        <v>9</v>
      </c>
      <c r="R52" s="245">
        <v>9</v>
      </c>
      <c r="S52" s="245">
        <v>13.3</v>
      </c>
      <c r="T52" s="245">
        <v>13.3</v>
      </c>
      <c r="U52" s="245">
        <v>13.3</v>
      </c>
      <c r="V52" s="245">
        <v>6.9</v>
      </c>
      <c r="W52" s="245">
        <v>7</v>
      </c>
      <c r="X52" s="245">
        <v>7</v>
      </c>
      <c r="Y52" s="245">
        <v>7</v>
      </c>
      <c r="Z52" s="245">
        <v>7</v>
      </c>
      <c r="AA52" s="221">
        <v>13.7</v>
      </c>
      <c r="AB52" s="245">
        <v>6.9</v>
      </c>
      <c r="AC52" s="245">
        <v>6.9</v>
      </c>
      <c r="AD52" s="245">
        <v>6.9</v>
      </c>
      <c r="AE52" s="245">
        <v>13.6</v>
      </c>
      <c r="AF52" s="245">
        <v>13.6</v>
      </c>
      <c r="AG52" s="235">
        <v>14</v>
      </c>
      <c r="AH52" s="226">
        <f t="shared" si="2"/>
        <v>13.7</v>
      </c>
      <c r="AI52" s="227">
        <f t="shared" si="3"/>
        <v>6.9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45">
        <v>10</v>
      </c>
      <c r="S53" s="245">
        <v>10</v>
      </c>
      <c r="T53" s="245">
        <v>10</v>
      </c>
      <c r="U53" s="245">
        <v>10</v>
      </c>
      <c r="V53" s="245">
        <v>10</v>
      </c>
      <c r="W53" s="245">
        <v>10</v>
      </c>
      <c r="X53" s="245">
        <v>10</v>
      </c>
      <c r="Y53" s="245">
        <v>10</v>
      </c>
      <c r="Z53" s="245">
        <v>10</v>
      </c>
      <c r="AA53" s="221">
        <v>10</v>
      </c>
      <c r="AB53" s="245">
        <v>10</v>
      </c>
      <c r="AC53" s="245">
        <v>10</v>
      </c>
      <c r="AD53" s="245">
        <v>10</v>
      </c>
      <c r="AE53" s="245">
        <v>10</v>
      </c>
      <c r="AF53" s="245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3</v>
      </c>
      <c r="F54" s="245">
        <v>3</v>
      </c>
      <c r="G54" s="245">
        <v>3</v>
      </c>
      <c r="H54" s="245">
        <v>3</v>
      </c>
      <c r="I54" s="245">
        <v>3</v>
      </c>
      <c r="J54" s="245">
        <v>3</v>
      </c>
      <c r="K54" s="245">
        <v>3</v>
      </c>
      <c r="L54" s="245">
        <v>3</v>
      </c>
      <c r="M54" s="245">
        <v>3</v>
      </c>
      <c r="N54" s="245">
        <v>3</v>
      </c>
      <c r="O54" s="245">
        <v>3</v>
      </c>
      <c r="P54" s="245">
        <v>3</v>
      </c>
      <c r="Q54" s="245">
        <v>3</v>
      </c>
      <c r="R54" s="245">
        <v>3</v>
      </c>
      <c r="S54" s="245">
        <v>3</v>
      </c>
      <c r="T54" s="245">
        <v>3</v>
      </c>
      <c r="U54" s="245">
        <v>3</v>
      </c>
      <c r="V54" s="245">
        <v>3</v>
      </c>
      <c r="W54" s="245">
        <v>3</v>
      </c>
      <c r="X54" s="245">
        <v>3</v>
      </c>
      <c r="Y54" s="245">
        <v>3</v>
      </c>
      <c r="Z54" s="245">
        <v>3</v>
      </c>
      <c r="AA54" s="221">
        <v>3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3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433.94000000000005</v>
      </c>
      <c r="C56" s="241">
        <f t="shared" ref="C56:AG56" si="6">SUM(C43:C55)</f>
        <v>433.94000000000005</v>
      </c>
      <c r="D56" s="241">
        <f t="shared" si="6"/>
        <v>433.94000000000005</v>
      </c>
      <c r="E56" s="241">
        <f t="shared" si="6"/>
        <v>364.94</v>
      </c>
      <c r="F56" s="241">
        <f t="shared" si="6"/>
        <v>364.94</v>
      </c>
      <c r="G56" s="241">
        <f t="shared" si="6"/>
        <v>343.94</v>
      </c>
      <c r="H56" s="241">
        <f t="shared" si="6"/>
        <v>342.94</v>
      </c>
      <c r="I56" s="241">
        <f t="shared" si="6"/>
        <v>352.94</v>
      </c>
      <c r="J56" s="241">
        <f t="shared" si="6"/>
        <v>346.94</v>
      </c>
      <c r="K56" s="241">
        <f t="shared" si="6"/>
        <v>346.94</v>
      </c>
      <c r="L56" s="241">
        <f t="shared" si="6"/>
        <v>368.94</v>
      </c>
      <c r="M56" s="241">
        <f t="shared" si="6"/>
        <v>407.34</v>
      </c>
      <c r="N56" s="241">
        <f t="shared" si="6"/>
        <v>281.14000000000004</v>
      </c>
      <c r="O56" s="241">
        <f t="shared" si="6"/>
        <v>281.14000000000004</v>
      </c>
      <c r="P56" s="241">
        <f t="shared" si="6"/>
        <v>404.63999999999993</v>
      </c>
      <c r="Q56" s="241">
        <f t="shared" si="6"/>
        <v>404.63999999999993</v>
      </c>
      <c r="R56" s="241">
        <f t="shared" si="6"/>
        <v>404.63999999999993</v>
      </c>
      <c r="S56" s="241">
        <f t="shared" si="6"/>
        <v>432.44</v>
      </c>
      <c r="T56" s="241">
        <f t="shared" si="6"/>
        <v>432.44</v>
      </c>
      <c r="U56" s="241">
        <f t="shared" si="6"/>
        <v>431.04</v>
      </c>
      <c r="V56" s="241">
        <f t="shared" si="6"/>
        <v>425.44</v>
      </c>
      <c r="W56" s="241">
        <f t="shared" si="6"/>
        <v>425.54</v>
      </c>
      <c r="X56" s="241">
        <f t="shared" si="6"/>
        <v>425.54</v>
      </c>
      <c r="Y56" s="241">
        <f t="shared" si="6"/>
        <v>287.54000000000002</v>
      </c>
      <c r="Z56" s="241">
        <f t="shared" si="6"/>
        <v>287.54000000000002</v>
      </c>
      <c r="AA56" s="241">
        <f t="shared" si="6"/>
        <v>383.64000000000004</v>
      </c>
      <c r="AB56" s="241">
        <f t="shared" si="6"/>
        <v>419.84</v>
      </c>
      <c r="AC56" s="241">
        <f t="shared" si="6"/>
        <v>421.04</v>
      </c>
      <c r="AD56" s="241">
        <f t="shared" si="6"/>
        <v>421.04</v>
      </c>
      <c r="AE56" s="241">
        <f t="shared" si="6"/>
        <v>423.94000000000005</v>
      </c>
      <c r="AF56" s="241">
        <f t="shared" si="6"/>
        <v>427.34000000000003</v>
      </c>
      <c r="AG56" s="242">
        <f t="shared" si="6"/>
        <v>489.91</v>
      </c>
      <c r="AH56" s="226">
        <f t="shared" si="2"/>
        <v>433.94000000000005</v>
      </c>
      <c r="AI56" s="227">
        <f t="shared" si="3"/>
        <v>281.14000000000004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25</v>
      </c>
      <c r="C61" s="221">
        <v>28</v>
      </c>
      <c r="D61" s="221">
        <v>30</v>
      </c>
      <c r="E61" s="221">
        <v>7</v>
      </c>
      <c r="F61" s="221">
        <v>7</v>
      </c>
      <c r="G61" s="221">
        <v>5</v>
      </c>
      <c r="H61" s="221">
        <v>2</v>
      </c>
      <c r="I61" s="221">
        <v>0</v>
      </c>
      <c r="J61" s="221">
        <v>-2</v>
      </c>
      <c r="K61" s="221">
        <v>-1</v>
      </c>
      <c r="L61" s="221">
        <v>0</v>
      </c>
      <c r="M61" s="221">
        <v>41.7</v>
      </c>
      <c r="N61" s="221">
        <v>69.900000000000006</v>
      </c>
      <c r="O61" s="221">
        <v>17</v>
      </c>
      <c r="P61" s="221">
        <v>25.3</v>
      </c>
      <c r="Q61" s="221">
        <v>25.3</v>
      </c>
      <c r="R61" s="221">
        <v>14.3</v>
      </c>
      <c r="S61" s="221">
        <v>11.2</v>
      </c>
      <c r="T61" s="221">
        <v>9.4</v>
      </c>
      <c r="U61" s="221">
        <v>-8</v>
      </c>
      <c r="V61" s="221">
        <v>4.2</v>
      </c>
      <c r="W61" s="221">
        <v>7.3</v>
      </c>
      <c r="X61" s="221">
        <v>-2.8</v>
      </c>
      <c r="Y61" s="221">
        <v>53.1</v>
      </c>
      <c r="Z61" s="221">
        <v>63.6</v>
      </c>
      <c r="AA61" s="221">
        <v>32</v>
      </c>
      <c r="AB61" s="221">
        <v>0</v>
      </c>
      <c r="AC61" s="221">
        <v>-2.4</v>
      </c>
      <c r="AD61" s="221">
        <v>2.7</v>
      </c>
      <c r="AE61" s="221">
        <v>0</v>
      </c>
      <c r="AF61" s="221">
        <v>0</v>
      </c>
      <c r="AG61" s="230"/>
      <c r="AH61" s="226">
        <f t="shared" si="2"/>
        <v>69.900000000000006</v>
      </c>
      <c r="AI61" s="227">
        <f t="shared" si="3"/>
        <v>-8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-405</v>
      </c>
      <c r="C63" s="245">
        <v>-420</v>
      </c>
      <c r="D63" s="245">
        <v>-430</v>
      </c>
      <c r="E63" s="245">
        <v>-426</v>
      </c>
      <c r="F63" s="245">
        <v>-450</v>
      </c>
      <c r="G63" s="245">
        <v>-433</v>
      </c>
      <c r="H63" s="245">
        <v>-431</v>
      </c>
      <c r="I63" s="245">
        <v>-419</v>
      </c>
      <c r="J63" s="245">
        <v>-425</v>
      </c>
      <c r="K63" s="245">
        <v>-388</v>
      </c>
      <c r="L63" s="245">
        <v>-400</v>
      </c>
      <c r="M63" s="245">
        <v>-346</v>
      </c>
      <c r="N63" s="245">
        <v>-392</v>
      </c>
      <c r="O63" s="245">
        <v>-412</v>
      </c>
      <c r="P63" s="245">
        <v>-395.5</v>
      </c>
      <c r="Q63" s="245">
        <v>-395.5</v>
      </c>
      <c r="R63" s="245">
        <v>-378</v>
      </c>
      <c r="S63" s="245">
        <v>-361</v>
      </c>
      <c r="T63" s="245">
        <v>-375</v>
      </c>
      <c r="U63" s="245">
        <v>-360</v>
      </c>
      <c r="V63" s="245">
        <v>-415</v>
      </c>
      <c r="W63" s="245">
        <v>-410</v>
      </c>
      <c r="X63" s="245">
        <v>-388</v>
      </c>
      <c r="Y63" s="245">
        <v>-348</v>
      </c>
      <c r="Z63" s="245">
        <v>-297</v>
      </c>
      <c r="AA63" s="245">
        <v>-258</v>
      </c>
      <c r="AB63" s="245">
        <v>-244</v>
      </c>
      <c r="AC63" s="245">
        <v>-288.7</v>
      </c>
      <c r="AD63" s="245">
        <v>-317.60000000000002</v>
      </c>
      <c r="AE63" s="245">
        <v>-370</v>
      </c>
      <c r="AF63" s="245">
        <v>-40.1</v>
      </c>
      <c r="AG63" s="255"/>
      <c r="AH63" s="226">
        <f t="shared" si="2"/>
        <v>-40.1</v>
      </c>
      <c r="AI63" s="227">
        <f t="shared" si="3"/>
        <v>-450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5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30</v>
      </c>
      <c r="C72" s="241">
        <f t="shared" ref="C72:L72" si="8">SUMIF(C61:C71,"&gt;0")</f>
        <v>33</v>
      </c>
      <c r="D72" s="241">
        <f t="shared" si="8"/>
        <v>35</v>
      </c>
      <c r="E72" s="241">
        <f t="shared" si="8"/>
        <v>12</v>
      </c>
      <c r="F72" s="241">
        <f t="shared" si="8"/>
        <v>12</v>
      </c>
      <c r="G72" s="241">
        <f t="shared" si="8"/>
        <v>5</v>
      </c>
      <c r="H72" s="241">
        <f t="shared" si="8"/>
        <v>2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41.7</v>
      </c>
      <c r="N72" s="241">
        <f t="shared" ref="N72:AF72" si="9">SUMIF(N61:N71,"&gt;0")</f>
        <v>69.900000000000006</v>
      </c>
      <c r="O72" s="241">
        <f t="shared" si="9"/>
        <v>17</v>
      </c>
      <c r="P72" s="241">
        <f t="shared" si="9"/>
        <v>25.3</v>
      </c>
      <c r="Q72" s="241">
        <f t="shared" si="9"/>
        <v>25.3</v>
      </c>
      <c r="R72" s="241">
        <f t="shared" si="9"/>
        <v>14.3</v>
      </c>
      <c r="S72" s="241">
        <f t="shared" si="9"/>
        <v>11.2</v>
      </c>
      <c r="T72" s="241">
        <f t="shared" si="9"/>
        <v>9.4</v>
      </c>
      <c r="U72" s="241">
        <f t="shared" si="9"/>
        <v>0</v>
      </c>
      <c r="V72" s="241">
        <f t="shared" si="9"/>
        <v>4.2</v>
      </c>
      <c r="W72" s="241">
        <f t="shared" si="9"/>
        <v>7.3</v>
      </c>
      <c r="X72" s="241">
        <f t="shared" si="9"/>
        <v>0</v>
      </c>
      <c r="Y72" s="241">
        <f t="shared" si="9"/>
        <v>53.1</v>
      </c>
      <c r="Z72" s="241">
        <f t="shared" si="9"/>
        <v>63.6</v>
      </c>
      <c r="AA72" s="241">
        <f t="shared" si="9"/>
        <v>32</v>
      </c>
      <c r="AB72" s="241">
        <f t="shared" si="9"/>
        <v>0</v>
      </c>
      <c r="AC72" s="241">
        <f t="shared" si="9"/>
        <v>0</v>
      </c>
      <c r="AD72" s="241">
        <f t="shared" si="9"/>
        <v>2.7</v>
      </c>
      <c r="AE72" s="241">
        <f t="shared" si="9"/>
        <v>0</v>
      </c>
      <c r="AF72" s="241">
        <f t="shared" si="9"/>
        <v>0</v>
      </c>
      <c r="AG72" s="261">
        <f>SUM(AG61:AG71)</f>
        <v>0</v>
      </c>
      <c r="AH72" s="226">
        <f t="shared" si="2"/>
        <v>69.900000000000006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1773.94</v>
      </c>
      <c r="C77" s="263">
        <f t="shared" ref="C77:AF77" si="10">C38+C42+C60+C56+C72+C76</f>
        <v>1784.94</v>
      </c>
      <c r="D77" s="263">
        <f t="shared" si="10"/>
        <v>1781.94</v>
      </c>
      <c r="E77" s="263">
        <f t="shared" si="10"/>
        <v>1650.1399999999999</v>
      </c>
      <c r="F77" s="263">
        <f t="shared" si="10"/>
        <v>1650.1399999999999</v>
      </c>
      <c r="G77" s="263">
        <f t="shared" si="10"/>
        <v>1622.1399999999999</v>
      </c>
      <c r="H77" s="263">
        <f t="shared" si="10"/>
        <v>1593.1399999999999</v>
      </c>
      <c r="I77" s="263">
        <f t="shared" si="10"/>
        <v>1601.1399999999999</v>
      </c>
      <c r="J77" s="263">
        <f t="shared" si="10"/>
        <v>1595.1399999999999</v>
      </c>
      <c r="K77" s="263">
        <f t="shared" si="10"/>
        <v>1595.1399999999999</v>
      </c>
      <c r="L77" s="263">
        <f t="shared" si="10"/>
        <v>1657.1399999999999</v>
      </c>
      <c r="M77" s="263">
        <f t="shared" si="10"/>
        <v>1742.9399999999998</v>
      </c>
      <c r="N77" s="263">
        <f t="shared" si="10"/>
        <v>1679.24</v>
      </c>
      <c r="O77" s="263">
        <f t="shared" si="10"/>
        <v>1611.34</v>
      </c>
      <c r="P77" s="263">
        <f t="shared" si="10"/>
        <v>1714.1399999999996</v>
      </c>
      <c r="Q77" s="263">
        <f t="shared" si="10"/>
        <v>1714.1399999999996</v>
      </c>
      <c r="R77" s="263">
        <f t="shared" si="10"/>
        <v>1703.1399999999996</v>
      </c>
      <c r="S77" s="263">
        <f t="shared" si="10"/>
        <v>1729.5400000000002</v>
      </c>
      <c r="T77" s="263">
        <f t="shared" si="10"/>
        <v>1770.94</v>
      </c>
      <c r="U77" s="263">
        <f t="shared" si="10"/>
        <v>1760.1399999999999</v>
      </c>
      <c r="V77" s="263">
        <f t="shared" si="10"/>
        <v>1738.94</v>
      </c>
      <c r="W77" s="263">
        <f t="shared" si="10"/>
        <v>1742.1399999999999</v>
      </c>
      <c r="X77" s="263">
        <f t="shared" si="10"/>
        <v>1734.84</v>
      </c>
      <c r="Y77" s="263">
        <f t="shared" si="10"/>
        <v>1679.9399999999998</v>
      </c>
      <c r="Z77" s="263">
        <f t="shared" si="10"/>
        <v>1706.4399999999998</v>
      </c>
      <c r="AA77" s="263">
        <f t="shared" si="10"/>
        <v>1787.94</v>
      </c>
      <c r="AB77" s="263">
        <f t="shared" si="10"/>
        <v>1798.4399999999998</v>
      </c>
      <c r="AC77" s="263">
        <f t="shared" si="10"/>
        <v>1789.6399999999999</v>
      </c>
      <c r="AD77" s="263">
        <f t="shared" si="10"/>
        <v>1792.34</v>
      </c>
      <c r="AE77" s="263">
        <f t="shared" si="10"/>
        <v>1769.54</v>
      </c>
      <c r="AF77" s="263">
        <f t="shared" si="10"/>
        <v>1760.54</v>
      </c>
      <c r="AG77" s="242">
        <f>AG38+AG42+AG60+AG56+AG72+AG76</f>
        <v>1855.1900000000003</v>
      </c>
      <c r="AH77" s="226">
        <f t="shared" si="2"/>
        <v>1798.4399999999998</v>
      </c>
      <c r="AI77" s="227">
        <f t="shared" si="3"/>
        <v>1593.1399999999999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>
        <v>30</v>
      </c>
      <c r="Z78" s="265">
        <v>30</v>
      </c>
      <c r="AA78" s="265"/>
      <c r="AB78" s="265"/>
      <c r="AC78" s="265"/>
      <c r="AD78" s="265"/>
      <c r="AE78" s="265"/>
      <c r="AF78" s="265"/>
      <c r="AG78" s="261"/>
      <c r="AH78" s="226">
        <f t="shared" si="2"/>
        <v>30</v>
      </c>
      <c r="AI78" s="227">
        <f t="shared" si="3"/>
        <v>30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1773.94</v>
      </c>
      <c r="C79" s="263">
        <f t="shared" ref="C79:AF79" si="11">C77+C78</f>
        <v>1784.94</v>
      </c>
      <c r="D79" s="263">
        <f t="shared" si="11"/>
        <v>1781.94</v>
      </c>
      <c r="E79" s="263">
        <f t="shared" si="11"/>
        <v>1650.1399999999999</v>
      </c>
      <c r="F79" s="263">
        <f t="shared" si="11"/>
        <v>1650.1399999999999</v>
      </c>
      <c r="G79" s="263">
        <f t="shared" si="11"/>
        <v>1622.1399999999999</v>
      </c>
      <c r="H79" s="263">
        <f t="shared" si="11"/>
        <v>1593.1399999999999</v>
      </c>
      <c r="I79" s="263">
        <f t="shared" si="11"/>
        <v>1601.1399999999999</v>
      </c>
      <c r="J79" s="263">
        <f t="shared" si="11"/>
        <v>1595.1399999999999</v>
      </c>
      <c r="K79" s="263">
        <f t="shared" si="11"/>
        <v>1595.1399999999999</v>
      </c>
      <c r="L79" s="263">
        <f t="shared" si="11"/>
        <v>1657.1399999999999</v>
      </c>
      <c r="M79" s="263">
        <f t="shared" si="11"/>
        <v>1742.9399999999998</v>
      </c>
      <c r="N79" s="263">
        <f t="shared" si="11"/>
        <v>1679.24</v>
      </c>
      <c r="O79" s="263">
        <f t="shared" si="11"/>
        <v>1611.34</v>
      </c>
      <c r="P79" s="263">
        <f t="shared" si="11"/>
        <v>1714.1399999999996</v>
      </c>
      <c r="Q79" s="263">
        <f t="shared" si="11"/>
        <v>1714.1399999999996</v>
      </c>
      <c r="R79" s="263">
        <f t="shared" si="11"/>
        <v>1703.1399999999996</v>
      </c>
      <c r="S79" s="263">
        <f t="shared" si="11"/>
        <v>1729.5400000000002</v>
      </c>
      <c r="T79" s="263">
        <f t="shared" si="11"/>
        <v>1770.94</v>
      </c>
      <c r="U79" s="263">
        <f t="shared" si="11"/>
        <v>1760.1399999999999</v>
      </c>
      <c r="V79" s="263">
        <f t="shared" si="11"/>
        <v>1738.94</v>
      </c>
      <c r="W79" s="263">
        <f t="shared" si="11"/>
        <v>1742.1399999999999</v>
      </c>
      <c r="X79" s="263">
        <f t="shared" si="11"/>
        <v>1734.84</v>
      </c>
      <c r="Y79" s="263">
        <f t="shared" si="11"/>
        <v>1709.9399999999998</v>
      </c>
      <c r="Z79" s="263">
        <f t="shared" si="11"/>
        <v>1736.4399999999998</v>
      </c>
      <c r="AA79" s="263">
        <f t="shared" si="11"/>
        <v>1787.94</v>
      </c>
      <c r="AB79" s="263">
        <f t="shared" si="11"/>
        <v>1798.4399999999998</v>
      </c>
      <c r="AC79" s="263">
        <f t="shared" si="11"/>
        <v>1789.6399999999999</v>
      </c>
      <c r="AD79" s="263">
        <f t="shared" si="11"/>
        <v>1792.34</v>
      </c>
      <c r="AE79" s="263">
        <f t="shared" si="11"/>
        <v>1769.54</v>
      </c>
      <c r="AF79" s="263">
        <f t="shared" si="11"/>
        <v>1760.54</v>
      </c>
      <c r="AG79" s="261">
        <f>AG76+AG72+AG60+AG56+AG38+AG78</f>
        <v>1317.0900000000001</v>
      </c>
      <c r="AH79" s="226">
        <f t="shared" si="2"/>
        <v>1798.4399999999998</v>
      </c>
      <c r="AI79" s="227">
        <f t="shared" si="3"/>
        <v>1593.1399999999999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1368.94</v>
      </c>
      <c r="C80" s="263">
        <f t="shared" si="12"/>
        <v>1364.94</v>
      </c>
      <c r="D80" s="263">
        <f t="shared" si="12"/>
        <v>1351.94</v>
      </c>
      <c r="E80" s="263">
        <f t="shared" si="12"/>
        <v>1224.1399999999999</v>
      </c>
      <c r="F80" s="263">
        <f t="shared" si="12"/>
        <v>1200.1399999999999</v>
      </c>
      <c r="G80" s="263">
        <f t="shared" si="12"/>
        <v>1189.1399999999999</v>
      </c>
      <c r="H80" s="263">
        <f t="shared" si="12"/>
        <v>1162.1399999999999</v>
      </c>
      <c r="I80" s="263">
        <f t="shared" si="12"/>
        <v>1182.1399999999999</v>
      </c>
      <c r="J80" s="263">
        <f t="shared" si="12"/>
        <v>1168.1399999999999</v>
      </c>
      <c r="K80" s="263">
        <f t="shared" si="12"/>
        <v>1206.1399999999999</v>
      </c>
      <c r="L80" s="263">
        <f t="shared" si="12"/>
        <v>1257.1399999999999</v>
      </c>
      <c r="M80" s="263">
        <f t="shared" si="12"/>
        <v>1396.9399999999998</v>
      </c>
      <c r="N80" s="263">
        <f t="shared" si="12"/>
        <v>1287.24</v>
      </c>
      <c r="O80" s="263">
        <f t="shared" si="12"/>
        <v>1199.3399999999999</v>
      </c>
      <c r="P80" s="263">
        <f t="shared" si="12"/>
        <v>1318.6399999999996</v>
      </c>
      <c r="Q80" s="263">
        <f t="shared" si="12"/>
        <v>1318.6399999999996</v>
      </c>
      <c r="R80" s="263">
        <f t="shared" si="12"/>
        <v>1325.1399999999996</v>
      </c>
      <c r="S80" s="263">
        <f t="shared" si="12"/>
        <v>1368.5400000000002</v>
      </c>
      <c r="T80" s="263">
        <f t="shared" si="12"/>
        <v>1395.94</v>
      </c>
      <c r="U80" s="263">
        <f t="shared" si="12"/>
        <v>1392.1399999999999</v>
      </c>
      <c r="V80" s="263">
        <f t="shared" si="12"/>
        <v>1323.94</v>
      </c>
      <c r="W80" s="263">
        <f t="shared" si="12"/>
        <v>1332.1399999999999</v>
      </c>
      <c r="X80" s="263">
        <f t="shared" si="12"/>
        <v>1344.04</v>
      </c>
      <c r="Y80" s="263">
        <f t="shared" si="12"/>
        <v>1361.9399999999998</v>
      </c>
      <c r="Z80" s="263">
        <f t="shared" si="12"/>
        <v>1439.4399999999998</v>
      </c>
      <c r="AA80" s="263">
        <f t="shared" si="12"/>
        <v>1529.94</v>
      </c>
      <c r="AB80" s="263">
        <f t="shared" si="12"/>
        <v>1554.4399999999998</v>
      </c>
      <c r="AC80" s="263">
        <f t="shared" si="12"/>
        <v>1498.54</v>
      </c>
      <c r="AD80" s="263">
        <f t="shared" si="12"/>
        <v>1474.7399999999998</v>
      </c>
      <c r="AE80" s="263">
        <f t="shared" si="12"/>
        <v>1399.54</v>
      </c>
      <c r="AF80" s="263">
        <f t="shared" si="12"/>
        <v>1720.44</v>
      </c>
      <c r="AG80" s="261"/>
      <c r="AH80" s="226">
        <f t="shared" ref="AH80:AH97" si="13">MAX(B80:AF80)</f>
        <v>1720.44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405</v>
      </c>
      <c r="C84" s="256">
        <f t="shared" ref="C84:AF84" si="18">IF(C63&lt;0,C63*-1,0)</f>
        <v>420</v>
      </c>
      <c r="D84" s="256">
        <f t="shared" si="18"/>
        <v>430</v>
      </c>
      <c r="E84" s="256">
        <f t="shared" si="18"/>
        <v>426</v>
      </c>
      <c r="F84" s="256">
        <f t="shared" si="18"/>
        <v>450</v>
      </c>
      <c r="G84" s="256">
        <f t="shared" si="18"/>
        <v>433</v>
      </c>
      <c r="H84" s="256">
        <f t="shared" si="18"/>
        <v>431</v>
      </c>
      <c r="I84" s="256">
        <f t="shared" si="18"/>
        <v>419</v>
      </c>
      <c r="J84" s="256">
        <f t="shared" si="18"/>
        <v>425</v>
      </c>
      <c r="K84" s="256">
        <f t="shared" si="18"/>
        <v>388</v>
      </c>
      <c r="L84" s="256">
        <f t="shared" si="18"/>
        <v>400</v>
      </c>
      <c r="M84" s="256">
        <f t="shared" si="18"/>
        <v>346</v>
      </c>
      <c r="N84" s="256">
        <f t="shared" si="18"/>
        <v>392</v>
      </c>
      <c r="O84" s="256">
        <f t="shared" si="18"/>
        <v>412</v>
      </c>
      <c r="P84" s="256">
        <f t="shared" si="18"/>
        <v>395.5</v>
      </c>
      <c r="Q84" s="256">
        <f t="shared" si="18"/>
        <v>395.5</v>
      </c>
      <c r="R84" s="256">
        <f t="shared" si="18"/>
        <v>378</v>
      </c>
      <c r="S84" s="256">
        <f t="shared" si="18"/>
        <v>361</v>
      </c>
      <c r="T84" s="256">
        <f t="shared" si="18"/>
        <v>375</v>
      </c>
      <c r="U84" s="256">
        <f t="shared" si="18"/>
        <v>360</v>
      </c>
      <c r="V84" s="256">
        <f t="shared" si="18"/>
        <v>415</v>
      </c>
      <c r="W84" s="256">
        <f t="shared" si="18"/>
        <v>410</v>
      </c>
      <c r="X84" s="256">
        <f t="shared" si="18"/>
        <v>388</v>
      </c>
      <c r="Y84" s="256">
        <f t="shared" si="18"/>
        <v>348</v>
      </c>
      <c r="Z84" s="256">
        <f t="shared" si="18"/>
        <v>297</v>
      </c>
      <c r="AA84" s="256">
        <f t="shared" si="18"/>
        <v>258</v>
      </c>
      <c r="AB84" s="256">
        <f t="shared" si="18"/>
        <v>244</v>
      </c>
      <c r="AC84" s="256">
        <f t="shared" si="18"/>
        <v>288.7</v>
      </c>
      <c r="AD84" s="256">
        <f t="shared" si="18"/>
        <v>317.60000000000002</v>
      </c>
      <c r="AE84" s="256">
        <f t="shared" si="18"/>
        <v>370</v>
      </c>
      <c r="AF84" s="256">
        <f t="shared" si="18"/>
        <v>40.1</v>
      </c>
      <c r="AG84" s="266"/>
      <c r="AH84" s="226">
        <f t="shared" si="13"/>
        <v>450</v>
      </c>
      <c r="AI84" s="227">
        <f t="shared" si="15"/>
        <v>40.1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2</v>
      </c>
      <c r="K85" s="256">
        <f t="shared" si="19"/>
        <v>1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8</v>
      </c>
      <c r="V85" s="256">
        <f t="shared" si="19"/>
        <v>0</v>
      </c>
      <c r="W85" s="256">
        <f t="shared" si="19"/>
        <v>0</v>
      </c>
      <c r="X85" s="256">
        <f t="shared" si="19"/>
        <v>2.8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2.4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8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405</v>
      </c>
      <c r="C87" s="241">
        <f t="shared" ref="C87:AF87" si="20">SUM(C81:C86)</f>
        <v>420</v>
      </c>
      <c r="D87" s="241">
        <f t="shared" si="20"/>
        <v>430</v>
      </c>
      <c r="E87" s="241">
        <f t="shared" si="20"/>
        <v>426</v>
      </c>
      <c r="F87" s="241">
        <f t="shared" si="20"/>
        <v>450</v>
      </c>
      <c r="G87" s="241">
        <f t="shared" si="20"/>
        <v>433</v>
      </c>
      <c r="H87" s="241">
        <f t="shared" si="20"/>
        <v>431</v>
      </c>
      <c r="I87" s="241">
        <f t="shared" si="20"/>
        <v>419</v>
      </c>
      <c r="J87" s="241">
        <f t="shared" si="20"/>
        <v>427</v>
      </c>
      <c r="K87" s="241">
        <f t="shared" si="20"/>
        <v>389</v>
      </c>
      <c r="L87" s="241">
        <f t="shared" si="20"/>
        <v>400</v>
      </c>
      <c r="M87" s="241">
        <f t="shared" si="20"/>
        <v>346</v>
      </c>
      <c r="N87" s="241">
        <f t="shared" si="20"/>
        <v>392</v>
      </c>
      <c r="O87" s="241">
        <f t="shared" si="20"/>
        <v>412</v>
      </c>
      <c r="P87" s="241">
        <f t="shared" si="20"/>
        <v>395.5</v>
      </c>
      <c r="Q87" s="241">
        <f t="shared" si="20"/>
        <v>395.5</v>
      </c>
      <c r="R87" s="241">
        <f t="shared" si="20"/>
        <v>378</v>
      </c>
      <c r="S87" s="241">
        <f t="shared" si="20"/>
        <v>361</v>
      </c>
      <c r="T87" s="241">
        <f t="shared" si="20"/>
        <v>375</v>
      </c>
      <c r="U87" s="241">
        <f t="shared" si="20"/>
        <v>368</v>
      </c>
      <c r="V87" s="241">
        <f t="shared" si="20"/>
        <v>415</v>
      </c>
      <c r="W87" s="241">
        <f t="shared" si="20"/>
        <v>410</v>
      </c>
      <c r="X87" s="241">
        <f t="shared" si="20"/>
        <v>390.8</v>
      </c>
      <c r="Y87" s="241">
        <f t="shared" si="20"/>
        <v>348</v>
      </c>
      <c r="Z87" s="241">
        <f t="shared" si="20"/>
        <v>297</v>
      </c>
      <c r="AA87" s="241">
        <f t="shared" si="20"/>
        <v>258</v>
      </c>
      <c r="AB87" s="241">
        <f t="shared" si="20"/>
        <v>244</v>
      </c>
      <c r="AC87" s="241">
        <f t="shared" si="20"/>
        <v>291.09999999999997</v>
      </c>
      <c r="AD87" s="241">
        <f t="shared" si="20"/>
        <v>317.60000000000002</v>
      </c>
      <c r="AE87" s="241">
        <f t="shared" si="20"/>
        <v>370</v>
      </c>
      <c r="AF87" s="241">
        <f t="shared" si="20"/>
        <v>40.1</v>
      </c>
      <c r="AG87" s="261"/>
      <c r="AH87" s="226">
        <f t="shared" si="13"/>
        <v>450</v>
      </c>
      <c r="AI87" s="227">
        <f t="shared" si="15"/>
        <v>40.1</v>
      </c>
      <c r="AK87" s="228"/>
    </row>
    <row r="88" spans="1:88" s="175" customFormat="1" ht="15.75" thickBot="1" x14ac:dyDescent="0.3">
      <c r="A88" s="254" t="s">
        <v>93</v>
      </c>
      <c r="B88" s="241">
        <f>B72-B87</f>
        <v>-375</v>
      </c>
      <c r="C88" s="241">
        <f t="shared" ref="C88:AF88" si="21">C72-C87</f>
        <v>-387</v>
      </c>
      <c r="D88" s="241">
        <f t="shared" si="21"/>
        <v>-395</v>
      </c>
      <c r="E88" s="241">
        <f t="shared" si="21"/>
        <v>-414</v>
      </c>
      <c r="F88" s="241">
        <f t="shared" si="21"/>
        <v>-438</v>
      </c>
      <c r="G88" s="241">
        <f t="shared" si="21"/>
        <v>-428</v>
      </c>
      <c r="H88" s="241">
        <f t="shared" si="21"/>
        <v>-429</v>
      </c>
      <c r="I88" s="241">
        <f t="shared" si="21"/>
        <v>-419</v>
      </c>
      <c r="J88" s="241">
        <f t="shared" si="21"/>
        <v>-427</v>
      </c>
      <c r="K88" s="241">
        <f t="shared" si="21"/>
        <v>-389</v>
      </c>
      <c r="L88" s="241">
        <f t="shared" si="21"/>
        <v>-400</v>
      </c>
      <c r="M88" s="241">
        <f t="shared" si="21"/>
        <v>-304.3</v>
      </c>
      <c r="N88" s="241">
        <f t="shared" si="21"/>
        <v>-322.10000000000002</v>
      </c>
      <c r="O88" s="241">
        <f t="shared" si="21"/>
        <v>-395</v>
      </c>
      <c r="P88" s="241">
        <f t="shared" si="21"/>
        <v>-370.2</v>
      </c>
      <c r="Q88" s="241">
        <f t="shared" si="21"/>
        <v>-370.2</v>
      </c>
      <c r="R88" s="241">
        <f t="shared" si="21"/>
        <v>-363.7</v>
      </c>
      <c r="S88" s="241">
        <f t="shared" si="21"/>
        <v>-349.8</v>
      </c>
      <c r="T88" s="241">
        <f t="shared" si="21"/>
        <v>-365.6</v>
      </c>
      <c r="U88" s="241">
        <f t="shared" si="21"/>
        <v>-368</v>
      </c>
      <c r="V88" s="241">
        <f t="shared" si="21"/>
        <v>-410.8</v>
      </c>
      <c r="W88" s="241">
        <f t="shared" si="21"/>
        <v>-402.7</v>
      </c>
      <c r="X88" s="241">
        <f t="shared" si="21"/>
        <v>-390.8</v>
      </c>
      <c r="Y88" s="241">
        <f t="shared" si="21"/>
        <v>-294.89999999999998</v>
      </c>
      <c r="Z88" s="241">
        <f t="shared" si="21"/>
        <v>-233.4</v>
      </c>
      <c r="AA88" s="241">
        <f t="shared" si="21"/>
        <v>-226</v>
      </c>
      <c r="AB88" s="241">
        <f t="shared" si="21"/>
        <v>-244</v>
      </c>
      <c r="AC88" s="241">
        <f t="shared" si="21"/>
        <v>-291.09999999999997</v>
      </c>
      <c r="AD88" s="241">
        <f t="shared" si="21"/>
        <v>-314.90000000000003</v>
      </c>
      <c r="AE88" s="241">
        <f t="shared" si="21"/>
        <v>-370</v>
      </c>
      <c r="AF88" s="241">
        <f t="shared" si="21"/>
        <v>-40.1</v>
      </c>
      <c r="AG88" s="261"/>
      <c r="AH88" s="226">
        <f t="shared" si="13"/>
        <v>-40.1</v>
      </c>
      <c r="AI88" s="227">
        <f t="shared" si="15"/>
        <v>-438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49.99</v>
      </c>
      <c r="C89" s="269"/>
      <c r="D89" s="269">
        <v>49.97</v>
      </c>
      <c r="E89" s="269">
        <v>50.02</v>
      </c>
      <c r="F89" s="269">
        <v>50.02</v>
      </c>
      <c r="G89" s="269">
        <v>49.97</v>
      </c>
      <c r="H89" s="269">
        <v>50.04</v>
      </c>
      <c r="I89" s="269">
        <v>50</v>
      </c>
      <c r="J89" s="269">
        <v>50.033999999999999</v>
      </c>
      <c r="K89" s="269">
        <v>49.991</v>
      </c>
      <c r="L89" s="269">
        <v>49.997</v>
      </c>
      <c r="M89" s="269">
        <v>50.04</v>
      </c>
      <c r="N89" s="269">
        <v>50.08</v>
      </c>
      <c r="O89" s="269">
        <v>50.08</v>
      </c>
      <c r="P89" s="269">
        <v>49.93</v>
      </c>
      <c r="Q89" s="269">
        <v>49.85</v>
      </c>
      <c r="R89" s="269">
        <v>49.99</v>
      </c>
      <c r="S89" s="269">
        <v>50.143000000000001</v>
      </c>
      <c r="T89" s="269">
        <v>49.970999999999997</v>
      </c>
      <c r="U89" s="269">
        <v>50.006999999999998</v>
      </c>
      <c r="V89" s="269">
        <v>49.816000000000003</v>
      </c>
      <c r="W89" s="269">
        <v>50</v>
      </c>
      <c r="X89" s="269">
        <v>49.997999999999998</v>
      </c>
      <c r="Y89" s="269">
        <v>50.024999999999999</v>
      </c>
      <c r="Z89" s="269">
        <v>49.984000000000002</v>
      </c>
      <c r="AA89" s="269">
        <v>49.975999999999999</v>
      </c>
      <c r="AB89" s="269">
        <v>50.04</v>
      </c>
      <c r="AC89" s="269">
        <v>50.029000000000003</v>
      </c>
      <c r="AD89" s="269">
        <v>49.984999999999999</v>
      </c>
      <c r="AE89" s="269">
        <v>49.98</v>
      </c>
      <c r="AF89" s="269">
        <v>49.96</v>
      </c>
      <c r="AG89" s="270"/>
      <c r="AH89" s="226">
        <f t="shared" si="13"/>
        <v>50.143000000000001</v>
      </c>
      <c r="AI89" s="227">
        <f t="shared" si="15"/>
        <v>49.816000000000003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126</v>
      </c>
      <c r="C90" s="245"/>
      <c r="D90" s="245"/>
      <c r="E90" s="245">
        <v>127</v>
      </c>
      <c r="F90" s="245">
        <v>127</v>
      </c>
      <c r="G90" s="245">
        <v>126</v>
      </c>
      <c r="H90" s="245">
        <v>126</v>
      </c>
      <c r="I90" s="245">
        <v>126</v>
      </c>
      <c r="J90" s="245">
        <v>126</v>
      </c>
      <c r="K90" s="245">
        <v>125</v>
      </c>
      <c r="L90" s="245">
        <v>125</v>
      </c>
      <c r="M90" s="245">
        <v>123.7</v>
      </c>
      <c r="N90" s="245">
        <v>124.2</v>
      </c>
      <c r="O90" s="245">
        <v>124.2</v>
      </c>
      <c r="P90" s="245">
        <v>124.2</v>
      </c>
      <c r="Q90" s="245">
        <v>123.4</v>
      </c>
      <c r="R90" s="245">
        <v>124.2</v>
      </c>
      <c r="S90" s="245">
        <v>123.8</v>
      </c>
      <c r="T90" s="245">
        <v>123.4</v>
      </c>
      <c r="U90" s="245">
        <v>123.5</v>
      </c>
      <c r="V90" s="245">
        <v>123.9</v>
      </c>
      <c r="W90" s="245">
        <v>124.4</v>
      </c>
      <c r="X90" s="245">
        <v>125.2</v>
      </c>
      <c r="Y90" s="245">
        <v>124.5</v>
      </c>
      <c r="Z90" s="245">
        <v>125.5</v>
      </c>
      <c r="AA90" s="245">
        <v>124.6</v>
      </c>
      <c r="AB90" s="245">
        <v>122.4</v>
      </c>
      <c r="AC90" s="245">
        <v>123.8</v>
      </c>
      <c r="AD90" s="245">
        <v>123.8</v>
      </c>
      <c r="AE90" s="245">
        <v>124.3</v>
      </c>
      <c r="AF90" s="245">
        <v>122.7</v>
      </c>
      <c r="AG90" s="272"/>
      <c r="AH90" s="226">
        <f t="shared" si="13"/>
        <v>127</v>
      </c>
      <c r="AI90" s="227">
        <f t="shared" si="15"/>
        <v>122.4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130</v>
      </c>
      <c r="C91" s="245"/>
      <c r="D91" s="245"/>
      <c r="E91" s="245">
        <v>131</v>
      </c>
      <c r="F91" s="245">
        <v>131</v>
      </c>
      <c r="G91" s="245">
        <v>131</v>
      </c>
      <c r="H91" s="245">
        <v>131</v>
      </c>
      <c r="I91" s="245">
        <v>131</v>
      </c>
      <c r="J91" s="245">
        <v>131</v>
      </c>
      <c r="K91" s="245">
        <v>131</v>
      </c>
      <c r="L91" s="245">
        <v>131</v>
      </c>
      <c r="M91" s="245">
        <v>127.3</v>
      </c>
      <c r="N91" s="245">
        <v>128</v>
      </c>
      <c r="O91" s="245">
        <v>128</v>
      </c>
      <c r="P91" s="245">
        <v>126.6</v>
      </c>
      <c r="Q91" s="245">
        <v>128</v>
      </c>
      <c r="R91" s="245">
        <v>127.5</v>
      </c>
      <c r="S91" s="245">
        <v>127.3</v>
      </c>
      <c r="T91" s="245">
        <v>127</v>
      </c>
      <c r="U91" s="245">
        <v>126.9</v>
      </c>
      <c r="V91" s="245">
        <v>127.2</v>
      </c>
      <c r="W91" s="245">
        <v>127.6</v>
      </c>
      <c r="X91" s="245">
        <v>128.5</v>
      </c>
      <c r="Y91" s="245">
        <v>127.8</v>
      </c>
      <c r="Z91" s="245">
        <v>129.5</v>
      </c>
      <c r="AA91" s="245">
        <v>129</v>
      </c>
      <c r="AB91" s="245">
        <v>126.9</v>
      </c>
      <c r="AC91" s="245">
        <v>128.30000000000001</v>
      </c>
      <c r="AD91" s="245">
        <v>128.30000000000001</v>
      </c>
      <c r="AE91" s="245">
        <v>129.1</v>
      </c>
      <c r="AF91" s="245"/>
      <c r="AG91" s="272"/>
      <c r="AH91" s="226">
        <f t="shared" si="13"/>
        <v>131</v>
      </c>
      <c r="AI91" s="227">
        <f t="shared" si="15"/>
        <v>126.6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131</v>
      </c>
      <c r="C92" s="245"/>
      <c r="D92" s="245"/>
      <c r="E92" s="245">
        <v>130</v>
      </c>
      <c r="F92" s="245">
        <v>130</v>
      </c>
      <c r="G92" s="245">
        <v>129</v>
      </c>
      <c r="H92" s="245">
        <v>129</v>
      </c>
      <c r="I92" s="245">
        <v>129</v>
      </c>
      <c r="J92" s="245">
        <v>129</v>
      </c>
      <c r="K92" s="245">
        <v>129</v>
      </c>
      <c r="L92" s="245">
        <v>129</v>
      </c>
      <c r="M92" s="245">
        <v>130.1</v>
      </c>
      <c r="N92" s="245">
        <v>128.69999999999999</v>
      </c>
      <c r="O92" s="245">
        <v>128.69999999999999</v>
      </c>
      <c r="P92" s="245">
        <v>128.69999999999999</v>
      </c>
      <c r="Q92" s="245">
        <v>128.69999999999999</v>
      </c>
      <c r="R92" s="245">
        <v>128.4</v>
      </c>
      <c r="S92" s="245">
        <v>129.1</v>
      </c>
      <c r="T92" s="245">
        <v>130.1</v>
      </c>
      <c r="U92" s="245">
        <v>128</v>
      </c>
      <c r="V92" s="245">
        <v>128.1</v>
      </c>
      <c r="W92" s="245">
        <v>129.4</v>
      </c>
      <c r="X92" s="245">
        <v>131.4</v>
      </c>
      <c r="Y92" s="245">
        <v>130</v>
      </c>
      <c r="Z92" s="245">
        <v>128.80000000000001</v>
      </c>
      <c r="AA92" s="245">
        <v>128.4</v>
      </c>
      <c r="AB92" s="245">
        <v>130.6</v>
      </c>
      <c r="AC92" s="245">
        <v>129.1</v>
      </c>
      <c r="AD92" s="245">
        <v>129.1</v>
      </c>
      <c r="AE92" s="245">
        <v>131.6</v>
      </c>
      <c r="AF92" s="245"/>
      <c r="AG92" s="272"/>
      <c r="AH92" s="226">
        <f t="shared" si="13"/>
        <v>131.6</v>
      </c>
      <c r="AI92" s="227">
        <f t="shared" si="15"/>
        <v>128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135</v>
      </c>
      <c r="C93" s="245"/>
      <c r="D93" s="245"/>
      <c r="E93" s="245">
        <v>134</v>
      </c>
      <c r="F93" s="245">
        <v>134</v>
      </c>
      <c r="G93" s="245">
        <v>134</v>
      </c>
      <c r="H93" s="245">
        <v>134</v>
      </c>
      <c r="I93" s="245">
        <v>134</v>
      </c>
      <c r="J93" s="245">
        <v>134</v>
      </c>
      <c r="K93" s="245">
        <v>134</v>
      </c>
      <c r="L93" s="245">
        <v>134</v>
      </c>
      <c r="M93" s="245">
        <v>132.69999999999999</v>
      </c>
      <c r="N93" s="245">
        <v>130.6</v>
      </c>
      <c r="O93" s="245">
        <v>130.6</v>
      </c>
      <c r="P93" s="245">
        <v>130.6</v>
      </c>
      <c r="Q93" s="245">
        <v>130.6</v>
      </c>
      <c r="R93" s="245">
        <v>130.1</v>
      </c>
      <c r="S93" s="245">
        <v>130.80000000000001</v>
      </c>
      <c r="T93" s="245">
        <v>131.4</v>
      </c>
      <c r="U93" s="245">
        <v>131.9</v>
      </c>
      <c r="V93" s="245">
        <v>131</v>
      </c>
      <c r="W93" s="245">
        <v>132.4</v>
      </c>
      <c r="X93" s="245">
        <v>133.80000000000001</v>
      </c>
      <c r="Y93" s="245">
        <v>132.1</v>
      </c>
      <c r="Z93" s="245">
        <v>131.1</v>
      </c>
      <c r="AA93" s="245">
        <v>131.19999999999999</v>
      </c>
      <c r="AB93" s="245">
        <v>134.4</v>
      </c>
      <c r="AC93" s="245">
        <v>133.80000000000001</v>
      </c>
      <c r="AD93" s="245">
        <v>133.80000000000001</v>
      </c>
      <c r="AE93" s="245">
        <v>133.80000000000001</v>
      </c>
      <c r="AF93" s="245"/>
      <c r="AG93" s="272"/>
      <c r="AH93" s="226">
        <f t="shared" si="13"/>
        <v>135</v>
      </c>
      <c r="AI93" s="227">
        <f t="shared" si="15"/>
        <v>130.1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</v>
      </c>
      <c r="C94" s="274"/>
      <c r="D94" s="274"/>
      <c r="E94" s="274">
        <v>131</v>
      </c>
      <c r="F94" s="274">
        <v>131</v>
      </c>
      <c r="G94" s="274">
        <v>135</v>
      </c>
      <c r="H94" s="274">
        <v>135</v>
      </c>
      <c r="I94" s="274">
        <v>135</v>
      </c>
      <c r="J94" s="274">
        <v>135</v>
      </c>
      <c r="K94" s="274">
        <v>135</v>
      </c>
      <c r="L94" s="274">
        <v>135</v>
      </c>
      <c r="M94" s="274">
        <v>128</v>
      </c>
      <c r="N94" s="274">
        <v>130</v>
      </c>
      <c r="O94" s="274">
        <v>130</v>
      </c>
      <c r="P94" s="274">
        <v>132.1</v>
      </c>
      <c r="Q94" s="274">
        <v>132.1</v>
      </c>
      <c r="R94" s="274">
        <v>132.1</v>
      </c>
      <c r="S94" s="274">
        <v>134.19999999999999</v>
      </c>
      <c r="T94" s="274">
        <v>134.1</v>
      </c>
      <c r="U94" s="274">
        <v>132.69999999999999</v>
      </c>
      <c r="V94" s="274">
        <v>136.1</v>
      </c>
      <c r="W94" s="274">
        <v>133.69999999999999</v>
      </c>
      <c r="X94" s="274">
        <v>133.9</v>
      </c>
      <c r="Y94" s="274">
        <v>131</v>
      </c>
      <c r="Z94" s="274">
        <v>127</v>
      </c>
      <c r="AA94" s="274">
        <v>132.5</v>
      </c>
      <c r="AB94" s="274">
        <v>129.69999999999999</v>
      </c>
      <c r="AC94" s="274">
        <v>131.69999999999999</v>
      </c>
      <c r="AD94" s="274">
        <v>131.69999999999999</v>
      </c>
      <c r="AE94" s="274">
        <v>133.6</v>
      </c>
      <c r="AF94" s="274"/>
      <c r="AG94" s="275"/>
      <c r="AH94" s="226">
        <f t="shared" si="13"/>
        <v>136.1</v>
      </c>
      <c r="AI94" s="227">
        <f t="shared" si="15"/>
        <v>127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124</v>
      </c>
      <c r="C95" s="245"/>
      <c r="D95" s="245"/>
      <c r="E95" s="245">
        <v>125</v>
      </c>
      <c r="F95" s="245">
        <v>125</v>
      </c>
      <c r="G95" s="245">
        <v>130</v>
      </c>
      <c r="H95" s="245">
        <v>130</v>
      </c>
      <c r="I95" s="245">
        <v>130</v>
      </c>
      <c r="J95" s="245">
        <v>130</v>
      </c>
      <c r="K95" s="245">
        <v>130</v>
      </c>
      <c r="L95" s="245">
        <v>130</v>
      </c>
      <c r="M95" s="245">
        <v>129.9</v>
      </c>
      <c r="N95" s="245">
        <v>126.6</v>
      </c>
      <c r="O95" s="245">
        <v>126.6</v>
      </c>
      <c r="P95" s="245">
        <v>129.5</v>
      </c>
      <c r="Q95" s="245">
        <v>129.5</v>
      </c>
      <c r="R95" s="245">
        <v>126.5</v>
      </c>
      <c r="S95" s="245">
        <v>132.1</v>
      </c>
      <c r="T95" s="245">
        <v>129.1</v>
      </c>
      <c r="U95" s="245">
        <v>129.5</v>
      </c>
      <c r="V95" s="245">
        <v>131.4</v>
      </c>
      <c r="W95" s="245">
        <v>127.5</v>
      </c>
      <c r="X95" s="245">
        <v>129.69999999999999</v>
      </c>
      <c r="Y95" s="245">
        <v>131.6</v>
      </c>
      <c r="Z95" s="245">
        <v>135.6</v>
      </c>
      <c r="AA95" s="245">
        <v>128.4</v>
      </c>
      <c r="AB95" s="245">
        <v>124.4</v>
      </c>
      <c r="AC95" s="245">
        <v>130.1</v>
      </c>
      <c r="AD95" s="245">
        <v>130.1</v>
      </c>
      <c r="AE95" s="245">
        <v>132.80000000000001</v>
      </c>
      <c r="AF95" s="245"/>
      <c r="AG95" s="272"/>
      <c r="AH95" s="226">
        <f t="shared" si="13"/>
        <v>135.6</v>
      </c>
      <c r="AI95" s="227">
        <f t="shared" si="15"/>
        <v>124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65.8</v>
      </c>
      <c r="C96" s="276"/>
      <c r="D96" s="276"/>
      <c r="E96" s="276">
        <v>66.400000000000006</v>
      </c>
      <c r="F96" s="276">
        <v>66.400000000000006</v>
      </c>
      <c r="G96" s="276">
        <v>66</v>
      </c>
      <c r="H96" s="276">
        <v>66</v>
      </c>
      <c r="I96" s="276">
        <v>65.2</v>
      </c>
      <c r="J96" s="276">
        <v>65.2</v>
      </c>
      <c r="K96" s="276">
        <v>64.8</v>
      </c>
      <c r="L96" s="276">
        <v>64.8</v>
      </c>
      <c r="M96" s="276">
        <v>63.8</v>
      </c>
      <c r="N96" s="276">
        <v>64.3</v>
      </c>
      <c r="O96" s="276">
        <v>64.3</v>
      </c>
      <c r="P96" s="276">
        <v>63.5</v>
      </c>
      <c r="Q96" s="276">
        <v>63.5</v>
      </c>
      <c r="R96" s="276">
        <v>63.6</v>
      </c>
      <c r="S96" s="276">
        <v>63.8</v>
      </c>
      <c r="T96" s="276">
        <v>63.6</v>
      </c>
      <c r="U96" s="276">
        <v>63.6</v>
      </c>
      <c r="V96" s="276">
        <v>63.7</v>
      </c>
      <c r="W96" s="276">
        <v>64.099999999999994</v>
      </c>
      <c r="X96" s="276">
        <v>64.599999999999994</v>
      </c>
      <c r="Y96" s="276">
        <v>64.3</v>
      </c>
      <c r="Z96" s="276">
        <v>65.2</v>
      </c>
      <c r="AA96" s="276">
        <v>65</v>
      </c>
      <c r="AB96" s="276">
        <v>64.099999999999994</v>
      </c>
      <c r="AC96" s="276">
        <v>64.8</v>
      </c>
      <c r="AD96" s="276">
        <v>64.8</v>
      </c>
      <c r="AE96" s="276">
        <v>65.099999999999994</v>
      </c>
      <c r="AF96" s="276"/>
      <c r="AG96" s="277"/>
      <c r="AH96" s="226">
        <f t="shared" si="13"/>
        <v>66.400000000000006</v>
      </c>
      <c r="AI96" s="227">
        <f t="shared" si="15"/>
        <v>63.5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34.900000000000006</v>
      </c>
      <c r="C98" s="280">
        <f t="shared" si="22"/>
        <v>168.84</v>
      </c>
      <c r="D98" s="280">
        <f t="shared" si="22"/>
        <v>168.84</v>
      </c>
      <c r="E98" s="280">
        <f t="shared" si="22"/>
        <v>53.34</v>
      </c>
      <c r="F98" s="280">
        <f t="shared" si="22"/>
        <v>50.34</v>
      </c>
      <c r="G98" s="280">
        <f t="shared" si="22"/>
        <v>58.34</v>
      </c>
      <c r="H98" s="280">
        <f t="shared" si="22"/>
        <v>81.34</v>
      </c>
      <c r="I98" s="280">
        <f>SUM(I15,I18,I21:I22,I46,I48:I49,I51,I53,I99:I102,I124,I130,I136,I145,I147,I159,I166,I169:I170,I177,I179,I181,I185:I187,I189:I191,I196,I202:I203,I205:I207,I215,I220)</f>
        <v>139.34</v>
      </c>
      <c r="J98" s="280">
        <f>SUM(J15,J18,J21:J22,J46,J48:J49,J51,J53,J99:J102,J124,J130,J136,J145,J147,J159,J166,J169:J170,J177,J179,J181,J185:J187,J189:J191,J196,J202:J203,J205:J207,J215,J220)</f>
        <v>134.34</v>
      </c>
      <c r="K98" s="280">
        <f t="shared" si="22"/>
        <v>161.34</v>
      </c>
      <c r="L98" s="280">
        <f t="shared" si="22"/>
        <v>195.34</v>
      </c>
      <c r="M98" s="280">
        <f t="shared" si="22"/>
        <v>190.83999999999997</v>
      </c>
      <c r="N98" s="280">
        <f t="shared" si="22"/>
        <v>174.24</v>
      </c>
      <c r="O98" s="280">
        <f t="shared" si="22"/>
        <v>160.24</v>
      </c>
      <c r="P98" s="280">
        <f t="shared" si="22"/>
        <v>161.63999999999999</v>
      </c>
      <c r="Q98" s="280">
        <f t="shared" si="22"/>
        <v>161.69999999999999</v>
      </c>
      <c r="R98" s="280">
        <f t="shared" si="22"/>
        <v>293</v>
      </c>
      <c r="S98" s="280">
        <f t="shared" si="22"/>
        <v>169.89999999999998</v>
      </c>
      <c r="T98" s="280">
        <f t="shared" si="22"/>
        <v>185.59999999999997</v>
      </c>
      <c r="U98" s="280">
        <f t="shared" si="22"/>
        <v>188.89999999999998</v>
      </c>
      <c r="V98" s="280">
        <f t="shared" si="22"/>
        <v>163.59999999999997</v>
      </c>
      <c r="W98" s="280">
        <f t="shared" si="22"/>
        <v>171.79999999999998</v>
      </c>
      <c r="X98" s="280">
        <f t="shared" si="22"/>
        <v>182.29999999999995</v>
      </c>
      <c r="Y98" s="280">
        <f t="shared" si="22"/>
        <v>223.89999999999998</v>
      </c>
      <c r="Z98" s="280">
        <f t="shared" si="22"/>
        <v>261.29999999999995</v>
      </c>
      <c r="AA98" s="280">
        <f t="shared" si="22"/>
        <v>233.5</v>
      </c>
      <c r="AB98" s="280">
        <f t="shared" si="22"/>
        <v>245.50000000000003</v>
      </c>
      <c r="AC98" s="280">
        <f t="shared" si="22"/>
        <v>186.5</v>
      </c>
      <c r="AD98" s="280">
        <f t="shared" si="22"/>
        <v>156.1</v>
      </c>
      <c r="AE98" s="280">
        <f t="shared" si="22"/>
        <v>147.19999999999999</v>
      </c>
      <c r="AF98" s="280">
        <f t="shared" si="22"/>
        <v>110.9</v>
      </c>
      <c r="AG98" s="281"/>
      <c r="AH98" s="226">
        <f>MAX(C98:AF98)</f>
        <v>293</v>
      </c>
      <c r="AI98" s="227">
        <f>MIN(C98:AF98)</f>
        <v>50.34</v>
      </c>
    </row>
    <row r="99" spans="1:37" x14ac:dyDescent="0.25">
      <c r="A99" s="268" t="s">
        <v>103</v>
      </c>
      <c r="B99" s="282">
        <v>8</v>
      </c>
      <c r="C99" s="282"/>
      <c r="D99" s="282"/>
      <c r="E99" s="282">
        <v>16</v>
      </c>
      <c r="F99" s="282">
        <v>19</v>
      </c>
      <c r="G99" s="282">
        <v>31</v>
      </c>
      <c r="H99" s="282">
        <v>36</v>
      </c>
      <c r="I99" s="282">
        <v>47</v>
      </c>
      <c r="J99" s="282">
        <v>47</v>
      </c>
      <c r="K99" s="282">
        <v>29</v>
      </c>
      <c r="L99" s="282">
        <v>44</v>
      </c>
      <c r="M99" s="282">
        <v>19.100000000000001</v>
      </c>
      <c r="N99" s="282">
        <v>20.2</v>
      </c>
      <c r="O99" s="282">
        <v>21.2</v>
      </c>
      <c r="P99" s="282">
        <v>28.7</v>
      </c>
      <c r="Q99" s="282">
        <v>29.7</v>
      </c>
      <c r="R99" s="282">
        <v>30.7</v>
      </c>
      <c r="S99" s="282">
        <v>25.5</v>
      </c>
      <c r="T99" s="282">
        <v>28.1</v>
      </c>
      <c r="U99" s="282">
        <v>29.4</v>
      </c>
      <c r="V99" s="282">
        <v>22.6</v>
      </c>
      <c r="W99" s="282">
        <v>20.100000000000001</v>
      </c>
      <c r="X99" s="282">
        <v>25.1</v>
      </c>
      <c r="Y99" s="282">
        <v>23</v>
      </c>
      <c r="Z99" s="282">
        <v>21.4</v>
      </c>
      <c r="AA99" s="282">
        <v>26.3</v>
      </c>
      <c r="AB99" s="282">
        <f>38.1+23.8</f>
        <v>61.900000000000006</v>
      </c>
      <c r="AC99" s="282">
        <v>21.4</v>
      </c>
      <c r="AD99" s="282">
        <v>22.7</v>
      </c>
      <c r="AE99" s="282">
        <f>36.1+21.7</f>
        <v>57.8</v>
      </c>
      <c r="AF99" s="282">
        <v>45</v>
      </c>
      <c r="AG99" s="283">
        <v>75</v>
      </c>
      <c r="AH99" s="226">
        <f t="shared" ref="AH99:AH106" si="23">IF(ABS(MAX(C99:AF99))&gt;ABS(MIN(C99:AF99)),MAX(C99:AF99),MIN(C99:AF99))</f>
        <v>61.900000000000006</v>
      </c>
      <c r="AI99" s="284">
        <f t="shared" ref="AI99:AI106" si="24">INDEX($C$9:$AF$9,1,MATCH(AH99,C99:AF99,0))</f>
        <v>0.83333333333333337</v>
      </c>
    </row>
    <row r="100" spans="1:37" x14ac:dyDescent="0.25">
      <c r="A100" s="271" t="s">
        <v>104</v>
      </c>
      <c r="B100" s="285">
        <v>-140</v>
      </c>
      <c r="C100" s="285"/>
      <c r="D100" s="285"/>
      <c r="E100" s="285">
        <v>-128</v>
      </c>
      <c r="F100" s="285">
        <v>-133</v>
      </c>
      <c r="G100" s="285">
        <v>-120</v>
      </c>
      <c r="H100" s="285">
        <v>-104</v>
      </c>
      <c r="I100" s="285">
        <v>-73</v>
      </c>
      <c r="J100" s="285">
        <v>-73</v>
      </c>
      <c r="K100" s="285">
        <v>-32</v>
      </c>
      <c r="L100" s="285">
        <v>-76</v>
      </c>
      <c r="M100" s="285">
        <f>-35.1-37.7</f>
        <v>-72.800000000000011</v>
      </c>
      <c r="N100" s="285">
        <f>-41.1-43.6</f>
        <v>-84.7</v>
      </c>
      <c r="O100" s="285">
        <f>-41.1-43.6</f>
        <v>-84.7</v>
      </c>
      <c r="P100" s="285">
        <f>-44.6-47.9</f>
        <v>-92.5</v>
      </c>
      <c r="Q100" s="285">
        <f>-44.6-47.9</f>
        <v>-92.5</v>
      </c>
      <c r="R100" s="285">
        <f>-24.5-25.8</f>
        <v>-50.3</v>
      </c>
      <c r="S100" s="285">
        <f>-43-45</f>
        <v>-88</v>
      </c>
      <c r="T100" s="285">
        <f>-47-50.1</f>
        <v>-97.1</v>
      </c>
      <c r="U100" s="285">
        <f>-46.2-49.7</f>
        <v>-95.9</v>
      </c>
      <c r="V100" s="285">
        <f>-43.1-46.1</f>
        <v>-89.2</v>
      </c>
      <c r="W100" s="285">
        <f>-39.8-42.9</f>
        <v>-82.699999999999989</v>
      </c>
      <c r="X100" s="285">
        <f>-37.4-40.5</f>
        <v>-77.900000000000006</v>
      </c>
      <c r="Y100" s="285">
        <f>-33-37</f>
        <v>-70</v>
      </c>
      <c r="Z100" s="285">
        <f>-13.6-18.6</f>
        <v>-32.200000000000003</v>
      </c>
      <c r="AA100" s="285">
        <v>-32.1</v>
      </c>
      <c r="AB100" s="285">
        <f>-40.5-44.2</f>
        <v>-84.7</v>
      </c>
      <c r="AC100" s="285">
        <v>-93</v>
      </c>
      <c r="AD100" s="285">
        <v>-110</v>
      </c>
      <c r="AE100" s="285">
        <f>-48.3-52</f>
        <v>-100.3</v>
      </c>
      <c r="AF100" s="285">
        <v>-112</v>
      </c>
      <c r="AG100" s="283">
        <v>240</v>
      </c>
      <c r="AH100" s="226">
        <f t="shared" si="23"/>
        <v>-133</v>
      </c>
      <c r="AI100" s="284">
        <f t="shared" si="24"/>
        <v>0.16666666666666699</v>
      </c>
    </row>
    <row r="101" spans="1:37" x14ac:dyDescent="0.25">
      <c r="A101" s="271" t="s">
        <v>105</v>
      </c>
      <c r="B101" s="285">
        <v>-1</v>
      </c>
      <c r="C101" s="285"/>
      <c r="D101" s="285"/>
      <c r="E101" s="285">
        <v>-3</v>
      </c>
      <c r="F101" s="285">
        <v>-4</v>
      </c>
      <c r="G101" s="285">
        <v>0</v>
      </c>
      <c r="H101" s="285">
        <v>2</v>
      </c>
      <c r="I101" s="285">
        <v>8</v>
      </c>
      <c r="J101" s="285">
        <v>9</v>
      </c>
      <c r="K101" s="285">
        <v>13</v>
      </c>
      <c r="L101" s="285">
        <v>9</v>
      </c>
      <c r="M101" s="285">
        <v>5.2</v>
      </c>
      <c r="N101" s="285">
        <v>4</v>
      </c>
      <c r="O101" s="285">
        <v>4</v>
      </c>
      <c r="P101" s="285">
        <v>6.7</v>
      </c>
      <c r="Q101" s="285">
        <v>6.7</v>
      </c>
      <c r="R101" s="285">
        <v>94.8</v>
      </c>
      <c r="S101" s="285">
        <v>3.5</v>
      </c>
      <c r="T101" s="285">
        <v>3.7</v>
      </c>
      <c r="U101" s="285">
        <v>8.1</v>
      </c>
      <c r="V101" s="285">
        <v>11</v>
      </c>
      <c r="W101" s="285">
        <v>9.8000000000000007</v>
      </c>
      <c r="X101" s="285">
        <v>9.1</v>
      </c>
      <c r="Y101" s="285">
        <v>11.1</v>
      </c>
      <c r="Z101" s="285">
        <v>35.1</v>
      </c>
      <c r="AA101" s="285">
        <v>25</v>
      </c>
      <c r="AB101" s="285">
        <v>8.8000000000000007</v>
      </c>
      <c r="AC101" s="285">
        <v>6.6</v>
      </c>
      <c r="AD101" s="285">
        <v>4.5</v>
      </c>
      <c r="AE101" s="285">
        <v>3.3</v>
      </c>
      <c r="AF101" s="285">
        <v>1.5</v>
      </c>
      <c r="AG101" s="283">
        <v>60</v>
      </c>
      <c r="AH101" s="226">
        <f t="shared" si="23"/>
        <v>94.8</v>
      </c>
      <c r="AI101" s="284">
        <f t="shared" si="24"/>
        <v>0.54166666666666696</v>
      </c>
    </row>
    <row r="102" spans="1:37" x14ac:dyDescent="0.25">
      <c r="A102" s="286" t="s">
        <v>106</v>
      </c>
      <c r="B102" s="287">
        <v>0</v>
      </c>
      <c r="C102" s="287"/>
      <c r="D102" s="287"/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51</v>
      </c>
      <c r="M102" s="287">
        <v>65.900000000000006</v>
      </c>
      <c r="N102" s="287">
        <v>47</v>
      </c>
      <c r="O102" s="287">
        <v>47</v>
      </c>
      <c r="P102" s="287">
        <v>51</v>
      </c>
      <c r="Q102" s="287">
        <v>51</v>
      </c>
      <c r="R102" s="287">
        <v>51</v>
      </c>
      <c r="S102" s="287">
        <v>55</v>
      </c>
      <c r="T102" s="287">
        <v>47</v>
      </c>
      <c r="U102" s="287">
        <v>43.4</v>
      </c>
      <c r="V102" s="287">
        <v>47.3</v>
      </c>
      <c r="W102" s="287">
        <v>52.7</v>
      </c>
      <c r="X102" s="287">
        <v>54.1</v>
      </c>
      <c r="Y102" s="287">
        <v>57.9</v>
      </c>
      <c r="Z102" s="287">
        <v>35.1</v>
      </c>
      <c r="AA102" s="287">
        <v>17.600000000000001</v>
      </c>
      <c r="AB102" s="287">
        <v>63.4</v>
      </c>
      <c r="AC102" s="287">
        <v>55.2</v>
      </c>
      <c r="AD102" s="287">
        <v>42.6</v>
      </c>
      <c r="AE102" s="287">
        <v>0</v>
      </c>
      <c r="AF102" s="287">
        <v>0</v>
      </c>
      <c r="AG102" s="288">
        <v>120</v>
      </c>
      <c r="AH102" s="226">
        <f t="shared" si="23"/>
        <v>65.900000000000006</v>
      </c>
      <c r="AI102" s="284">
        <f t="shared" si="24"/>
        <v>0.33333333333333331</v>
      </c>
    </row>
    <row r="103" spans="1:37" x14ac:dyDescent="0.25">
      <c r="A103" s="286" t="s">
        <v>107</v>
      </c>
      <c r="B103" s="287">
        <v>24</v>
      </c>
      <c r="C103" s="287"/>
      <c r="D103" s="287"/>
      <c r="E103" s="287">
        <v>21</v>
      </c>
      <c r="F103" s="287">
        <v>10</v>
      </c>
      <c r="G103" s="287">
        <v>22</v>
      </c>
      <c r="H103" s="287">
        <v>25</v>
      </c>
      <c r="I103" s="287">
        <v>37</v>
      </c>
      <c r="J103" s="287">
        <v>37</v>
      </c>
      <c r="K103" s="287">
        <v>70</v>
      </c>
      <c r="L103" s="287">
        <v>44</v>
      </c>
      <c r="M103" s="287">
        <v>60.8</v>
      </c>
      <c r="N103" s="287">
        <v>44.5</v>
      </c>
      <c r="O103" s="287">
        <v>44.5</v>
      </c>
      <c r="P103" s="287">
        <v>12.8</v>
      </c>
      <c r="Q103" s="287">
        <v>12.8</v>
      </c>
      <c r="R103" s="287">
        <v>77</v>
      </c>
      <c r="S103" s="287">
        <v>52.5</v>
      </c>
      <c r="T103" s="287">
        <v>45</v>
      </c>
      <c r="U103" s="287">
        <v>43.5</v>
      </c>
      <c r="V103" s="287">
        <v>48</v>
      </c>
      <c r="W103" s="287">
        <v>51.6</v>
      </c>
      <c r="X103" s="287">
        <v>44.8</v>
      </c>
      <c r="Y103" s="287">
        <v>50</v>
      </c>
      <c r="Z103" s="287">
        <v>65.5</v>
      </c>
      <c r="AA103" s="287">
        <v>86.3</v>
      </c>
      <c r="AB103" s="287">
        <v>63.5</v>
      </c>
      <c r="AC103" s="287">
        <v>57.2</v>
      </c>
      <c r="AD103" s="287">
        <v>51.3</v>
      </c>
      <c r="AE103" s="287">
        <v>62.2</v>
      </c>
      <c r="AF103" s="287">
        <v>49.2</v>
      </c>
      <c r="AG103" s="288"/>
      <c r="AH103" s="226">
        <f t="shared" si="23"/>
        <v>86.3</v>
      </c>
      <c r="AI103" s="284">
        <f t="shared" si="24"/>
        <v>0.8125</v>
      </c>
    </row>
    <row r="104" spans="1:37" x14ac:dyDescent="0.25">
      <c r="A104" s="286" t="s">
        <v>108</v>
      </c>
      <c r="B104" s="287">
        <v>58</v>
      </c>
      <c r="C104" s="287"/>
      <c r="D104" s="287"/>
      <c r="E104" s="287">
        <v>66</v>
      </c>
      <c r="F104" s="287">
        <v>73</v>
      </c>
      <c r="G104" s="287">
        <v>52</v>
      </c>
      <c r="H104" s="287">
        <v>49</v>
      </c>
      <c r="I104" s="287">
        <v>42</v>
      </c>
      <c r="J104" s="287">
        <v>42</v>
      </c>
      <c r="K104" s="287">
        <v>59</v>
      </c>
      <c r="L104" s="287">
        <v>63</v>
      </c>
      <c r="M104" s="287">
        <v>84</v>
      </c>
      <c r="N104" s="287">
        <v>58.5</v>
      </c>
      <c r="O104" s="287">
        <v>58.5</v>
      </c>
      <c r="P104" s="287">
        <v>58.5</v>
      </c>
      <c r="Q104" s="287">
        <v>58.5</v>
      </c>
      <c r="R104" s="287">
        <v>0.5</v>
      </c>
      <c r="S104" s="287">
        <v>13.4</v>
      </c>
      <c r="T104" s="287">
        <v>30.2</v>
      </c>
      <c r="U104" s="287">
        <v>22.6</v>
      </c>
      <c r="V104" s="287">
        <v>15.2</v>
      </c>
      <c r="W104" s="287">
        <v>22.2</v>
      </c>
      <c r="X104" s="287">
        <v>4.0999999999999996</v>
      </c>
      <c r="Y104" s="287">
        <v>57</v>
      </c>
      <c r="Z104" s="287">
        <v>56</v>
      </c>
      <c r="AA104" s="287">
        <v>54.8</v>
      </c>
      <c r="AB104" s="287">
        <v>49.1</v>
      </c>
      <c r="AC104" s="287">
        <v>57.8</v>
      </c>
      <c r="AD104" s="287">
        <v>49.3</v>
      </c>
      <c r="AE104" s="287">
        <v>50.3</v>
      </c>
      <c r="AF104" s="287">
        <v>72</v>
      </c>
      <c r="AG104" s="289"/>
      <c r="AH104" s="226">
        <f t="shared" si="23"/>
        <v>84</v>
      </c>
      <c r="AI104" s="284">
        <f t="shared" si="24"/>
        <v>0.33333333333333331</v>
      </c>
    </row>
    <row r="105" spans="1:37" x14ac:dyDescent="0.25">
      <c r="A105" s="290" t="s">
        <v>109</v>
      </c>
      <c r="B105" s="274">
        <v>125</v>
      </c>
      <c r="C105" s="274"/>
      <c r="D105" s="274"/>
      <c r="E105" s="274">
        <v>125</v>
      </c>
      <c r="F105" s="274">
        <v>124</v>
      </c>
      <c r="G105" s="274">
        <v>122</v>
      </c>
      <c r="H105" s="274">
        <v>90</v>
      </c>
      <c r="I105" s="274">
        <v>94</v>
      </c>
      <c r="J105" s="274">
        <v>94</v>
      </c>
      <c r="K105" s="274">
        <v>105</v>
      </c>
      <c r="L105" s="274">
        <v>125</v>
      </c>
      <c r="M105" s="274">
        <v>96.2</v>
      </c>
      <c r="N105" s="274">
        <v>122.8</v>
      </c>
      <c r="O105" s="274">
        <v>122.8</v>
      </c>
      <c r="P105" s="274">
        <v>122.8</v>
      </c>
      <c r="Q105" s="274">
        <v>122.8</v>
      </c>
      <c r="R105" s="274">
        <v>94.6</v>
      </c>
      <c r="S105" s="274">
        <v>93.2</v>
      </c>
      <c r="T105" s="274">
        <v>90.5</v>
      </c>
      <c r="U105" s="274">
        <v>79.3</v>
      </c>
      <c r="V105" s="274">
        <v>117</v>
      </c>
      <c r="W105" s="274">
        <v>115.7</v>
      </c>
      <c r="X105" s="274">
        <v>113</v>
      </c>
      <c r="Y105" s="274">
        <v>105.4</v>
      </c>
      <c r="Z105" s="274">
        <v>104.2</v>
      </c>
      <c r="AA105" s="274">
        <v>19.399999999999999</v>
      </c>
      <c r="AB105" s="274">
        <v>107.6</v>
      </c>
      <c r="AC105" s="274">
        <v>108.7</v>
      </c>
      <c r="AD105" s="274">
        <v>109.8</v>
      </c>
      <c r="AE105" s="274">
        <v>114.3</v>
      </c>
      <c r="AF105" s="274">
        <v>116</v>
      </c>
      <c r="AG105" s="289"/>
      <c r="AH105" s="226">
        <f t="shared" si="23"/>
        <v>125</v>
      </c>
      <c r="AI105" s="284">
        <f t="shared" si="24"/>
        <v>0.125</v>
      </c>
    </row>
    <row r="106" spans="1:37" ht="15.75" thickBot="1" x14ac:dyDescent="0.3">
      <c r="A106" s="290" t="s">
        <v>110</v>
      </c>
      <c r="B106" s="274">
        <v>90</v>
      </c>
      <c r="C106" s="274"/>
      <c r="D106" s="274"/>
      <c r="E106" s="274">
        <v>78</v>
      </c>
      <c r="F106" s="274">
        <v>78</v>
      </c>
      <c r="G106" s="274">
        <v>74</v>
      </c>
      <c r="H106" s="274">
        <v>66</v>
      </c>
      <c r="I106" s="274">
        <v>44</v>
      </c>
      <c r="J106" s="274">
        <v>44</v>
      </c>
      <c r="K106" s="274">
        <v>21</v>
      </c>
      <c r="L106" s="274">
        <v>41</v>
      </c>
      <c r="M106" s="274">
        <v>32.1</v>
      </c>
      <c r="N106" s="274">
        <v>50</v>
      </c>
      <c r="O106" s="274">
        <v>54.2</v>
      </c>
      <c r="P106" s="274">
        <v>59.6</v>
      </c>
      <c r="Q106" s="274">
        <v>59.6</v>
      </c>
      <c r="R106" s="274">
        <v>31.9</v>
      </c>
      <c r="S106" s="274">
        <v>50.8</v>
      </c>
      <c r="T106" s="274">
        <v>57.5</v>
      </c>
      <c r="U106" s="274">
        <v>57.5</v>
      </c>
      <c r="V106" s="274">
        <v>54.2</v>
      </c>
      <c r="W106" s="274">
        <v>47.1</v>
      </c>
      <c r="X106" s="274">
        <v>47.4</v>
      </c>
      <c r="Y106" s="274">
        <v>40.299999999999997</v>
      </c>
      <c r="Z106" s="274">
        <v>25.9</v>
      </c>
      <c r="AA106" s="274"/>
      <c r="AB106" s="274">
        <v>51.5</v>
      </c>
      <c r="AC106" s="274">
        <v>53.3</v>
      </c>
      <c r="AD106" s="274">
        <v>65.5</v>
      </c>
      <c r="AE106" s="274">
        <v>65.2</v>
      </c>
      <c r="AF106" s="274">
        <v>86</v>
      </c>
      <c r="AG106" s="289"/>
      <c r="AH106" s="226">
        <f t="shared" si="23"/>
        <v>86</v>
      </c>
      <c r="AI106" s="284">
        <f t="shared" si="24"/>
        <v>0.95833333333333304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1742.9399999999998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12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2079/02/12)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2079/02/12)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1773.94</v>
      </c>
      <c r="U235" s="343">
        <f t="shared" si="31"/>
        <v>1784.94</v>
      </c>
      <c r="V235" s="343">
        <f t="shared" si="31"/>
        <v>1781.94</v>
      </c>
      <c r="W235" s="343">
        <f t="shared" si="31"/>
        <v>1650.1399999999999</v>
      </c>
      <c r="X235" s="343">
        <f t="shared" si="31"/>
        <v>1650.1399999999999</v>
      </c>
      <c r="Y235" s="343">
        <f t="shared" si="31"/>
        <v>1622.1399999999999</v>
      </c>
      <c r="Z235" s="343">
        <f t="shared" si="31"/>
        <v>1593.1399999999999</v>
      </c>
      <c r="AA235" s="343">
        <f t="shared" si="31"/>
        <v>1601.1399999999999</v>
      </c>
      <c r="AB235" s="343">
        <f t="shared" si="31"/>
        <v>1595.1399999999999</v>
      </c>
      <c r="AC235" s="343">
        <f t="shared" si="31"/>
        <v>1595.1399999999999</v>
      </c>
      <c r="AD235" s="343">
        <f t="shared" si="31"/>
        <v>1657.1399999999999</v>
      </c>
      <c r="AE235" s="343">
        <f t="shared" si="31"/>
        <v>1742.9399999999998</v>
      </c>
      <c r="AF235" s="343">
        <f t="shared" si="31"/>
        <v>1679.24</v>
      </c>
      <c r="AG235" s="343">
        <f t="shared" si="31"/>
        <v>1611.34</v>
      </c>
      <c r="AH235" s="343">
        <f t="shared" si="31"/>
        <v>1714.1399999999996</v>
      </c>
      <c r="AI235" s="343">
        <f t="shared" si="31"/>
        <v>1714.1399999999996</v>
      </c>
      <c r="AJ235" s="343">
        <f t="shared" si="31"/>
        <v>1703.1399999999996</v>
      </c>
      <c r="AK235" s="343">
        <f t="shared" si="31"/>
        <v>1729.5400000000002</v>
      </c>
      <c r="AL235" s="343">
        <f t="shared" si="31"/>
        <v>1770.94</v>
      </c>
      <c r="AM235" s="343">
        <f t="shared" si="31"/>
        <v>1760.1399999999999</v>
      </c>
      <c r="AN235" s="343">
        <f t="shared" si="31"/>
        <v>1738.94</v>
      </c>
      <c r="AO235" s="343">
        <f t="shared" si="31"/>
        <v>1742.1399999999999</v>
      </c>
      <c r="AP235" s="343">
        <f t="shared" si="31"/>
        <v>1734.84</v>
      </c>
      <c r="AQ235" s="343">
        <f t="shared" si="31"/>
        <v>1709.9399999999998</v>
      </c>
      <c r="AR235" s="343">
        <f t="shared" si="31"/>
        <v>1736.4399999999998</v>
      </c>
      <c r="AS235" s="343">
        <f t="shared" si="31"/>
        <v>1787.94</v>
      </c>
      <c r="AT235" s="343">
        <f t="shared" si="31"/>
        <v>1798.4399999999998</v>
      </c>
      <c r="AU235" s="343">
        <f t="shared" si="31"/>
        <v>1789.6399999999999</v>
      </c>
      <c r="AV235" s="343">
        <f t="shared" si="31"/>
        <v>1792.34</v>
      </c>
      <c r="AW235" s="343">
        <f t="shared" si="31"/>
        <v>1769.54</v>
      </c>
      <c r="AX235" s="343">
        <f t="shared" si="31"/>
        <v>1760.54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T11:AF11">
    <cfRule type="expression" dxfId="5578" priority="233">
      <formula>B$9&gt;=20/24</formula>
    </cfRule>
    <cfRule type="expression" dxfId="5577" priority="234">
      <formula>AND(B$9&gt;=14/24,B$9&lt;20/24)</formula>
    </cfRule>
    <cfRule type="expression" dxfId="5576" priority="235">
      <formula>AND(B$9&gt;=8/24,B$9&lt;14/24)</formula>
    </cfRule>
    <cfRule type="expression" dxfId="5575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X37:AF37">
    <cfRule type="expression" dxfId="5574" priority="228">
      <formula>X$9&gt;=20/24</formula>
    </cfRule>
    <cfRule type="expression" dxfId="5573" priority="229">
      <formula>AND(X$9&gt;=14/24,X$9&lt;20/24)</formula>
    </cfRule>
    <cfRule type="expression" dxfId="5572" priority="230">
      <formula>AND(X$9&gt;=8/24,X$9&lt;14/24)</formula>
    </cfRule>
    <cfRule type="expression" dxfId="5571" priority="231">
      <formula>X$9&lt;8/24</formula>
    </cfRule>
  </conditionalFormatting>
  <conditionalFormatting sqref="AG55 B12:R16 X37:AF37 B35:AF35 S11:AF16">
    <cfRule type="expression" dxfId="5570" priority="227">
      <formula>B11&gt;$AG11</formula>
    </cfRule>
  </conditionalFormatting>
  <conditionalFormatting sqref="A89:A102 A11:A14 A49:A76 A85:A87 A191:A221 A16:A30 A36:A47 A107:A178 A32:A33 A81:A83 A78:A79">
    <cfRule type="expression" dxfId="5569" priority="226">
      <formula>$AH11=0</formula>
    </cfRule>
  </conditionalFormatting>
  <conditionalFormatting sqref="A103">
    <cfRule type="expression" dxfId="5568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567" priority="223">
      <formula>$AH35=0</formula>
    </cfRule>
  </conditionalFormatting>
  <conditionalFormatting sqref="A88">
    <cfRule type="expression" dxfId="5566" priority="222">
      <formula>$AH88=0</formula>
    </cfRule>
  </conditionalFormatting>
  <conditionalFormatting sqref="A15">
    <cfRule type="expression" dxfId="5565" priority="221">
      <formula>$AH15=0</formula>
    </cfRule>
  </conditionalFormatting>
  <conditionalFormatting sqref="A185:A190">
    <cfRule type="expression" dxfId="5564" priority="220">
      <formula>$AH185=0</formula>
    </cfRule>
  </conditionalFormatting>
  <conditionalFormatting sqref="A179:A184">
    <cfRule type="expression" dxfId="5563" priority="219">
      <formula>$AH179=0</formula>
    </cfRule>
  </conditionalFormatting>
  <conditionalFormatting sqref="A48">
    <cfRule type="expression" dxfId="5562" priority="218">
      <formula>$AH48=0</formula>
    </cfRule>
  </conditionalFormatting>
  <conditionalFormatting sqref="A84">
    <cfRule type="expression" dxfId="5561" priority="217">
      <formula>$AH84=0</formula>
    </cfRule>
  </conditionalFormatting>
  <conditionalFormatting sqref="C89:AF89">
    <cfRule type="expression" dxfId="5560" priority="213">
      <formula>C$9&gt;=20/24</formula>
    </cfRule>
    <cfRule type="expression" dxfId="5559" priority="214">
      <formula>AND(C$9&gt;=14/24,C$9&lt;20/24)</formula>
    </cfRule>
    <cfRule type="expression" dxfId="5558" priority="215">
      <formula>AND(C$9&gt;=8/24,C$9&lt;14/24)</formula>
    </cfRule>
    <cfRule type="expression" dxfId="5557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56" priority="239">
      <formula>C$9&gt;=20/24</formula>
    </cfRule>
    <cfRule type="expression" dxfId="5555" priority="240">
      <formula>AND(C$9&gt;=14/24,C$9&lt;20/24)</formula>
    </cfRule>
    <cfRule type="expression" dxfId="5554" priority="241">
      <formula>AND(C$9&gt;=8/24,C$9&lt;14/24)</formula>
    </cfRule>
    <cfRule type="expression" dxfId="5553" priority="242">
      <formula>C$9&lt;8/24</formula>
    </cfRule>
  </conditionalFormatting>
  <conditionalFormatting sqref="A222">
    <cfRule type="expression" dxfId="5552" priority="243">
      <formula>$AH222=0</formula>
    </cfRule>
  </conditionalFormatting>
  <conditionalFormatting sqref="AG234">
    <cfRule type="expression" dxfId="5551" priority="244">
      <formula>B$9&gt;=20/24</formula>
    </cfRule>
    <cfRule type="expression" dxfId="5550" priority="245">
      <formula>AND(B$9&gt;=14/24,B$9&lt;20/24)</formula>
    </cfRule>
    <cfRule type="expression" dxfId="5549" priority="246">
      <formula>AND(B$9&gt;=8/24,B$9&lt;14/24)</formula>
    </cfRule>
    <cfRule type="expression" dxfId="5548" priority="247">
      <formula>B$9&lt;8/24</formula>
    </cfRule>
  </conditionalFormatting>
  <conditionalFormatting sqref="S8">
    <cfRule type="expression" dxfId="5547" priority="208">
      <formula>U$9&gt;=20/24</formula>
    </cfRule>
    <cfRule type="expression" dxfId="5546" priority="209">
      <formula>AND(U$9&gt;=14/24,U$9&lt;20/24)</formula>
    </cfRule>
    <cfRule type="expression" dxfId="5545" priority="210">
      <formula>AND(U$9&gt;=8/24,U$9&lt;14/24)</formula>
    </cfRule>
    <cfRule type="expression" dxfId="5544" priority="211">
      <formula>U$9&lt;8/24</formula>
    </cfRule>
  </conditionalFormatting>
  <conditionalFormatting sqref="AB8">
    <cfRule type="expression" dxfId="5543" priority="204">
      <formula>AD$9&gt;=20/24</formula>
    </cfRule>
    <cfRule type="expression" dxfId="5542" priority="205">
      <formula>AND(AD$9&gt;=14/24,AD$9&lt;20/24)</formula>
    </cfRule>
    <cfRule type="expression" dxfId="5541" priority="206">
      <formula>AND(AD$9&gt;=8/24,AD$9&lt;14/24)</formula>
    </cfRule>
    <cfRule type="expression" dxfId="5540" priority="207">
      <formula>AD$9&lt;8/24</formula>
    </cfRule>
  </conditionalFormatting>
  <conditionalFormatting sqref="AH234:AX234">
    <cfRule type="expression" dxfId="5539" priority="248">
      <formula>AG$9&gt;=20/24</formula>
    </cfRule>
    <cfRule type="expression" dxfId="5538" priority="249">
      <formula>AND(AG$9&gt;=14/24,AG$9&lt;20/24)</formula>
    </cfRule>
    <cfRule type="expression" dxfId="5537" priority="250">
      <formula>AND(AG$9&gt;=8/24,AG$9&lt;14/24)</formula>
    </cfRule>
    <cfRule type="expression" dxfId="5536" priority="251">
      <formula>AG$9&lt;8/24</formula>
    </cfRule>
  </conditionalFormatting>
  <conditionalFormatting sqref="T234">
    <cfRule type="expression" dxfId="5535" priority="252">
      <formula>AX$9&gt;=20/24</formula>
    </cfRule>
    <cfRule type="expression" dxfId="5534" priority="253">
      <formula>AND(AX$9&gt;=14/24,AX$9&lt;20/24)</formula>
    </cfRule>
    <cfRule type="expression" dxfId="5533" priority="254">
      <formula>AND(AX$9&gt;=8/24,AX$9&lt;14/24)</formula>
    </cfRule>
    <cfRule type="expression" dxfId="5532" priority="255">
      <formula>AX$9&lt;8/24</formula>
    </cfRule>
  </conditionalFormatting>
  <conditionalFormatting sqref="A104:A105">
    <cfRule type="expression" dxfId="5531" priority="203">
      <formula>$AH104=0</formula>
    </cfRule>
  </conditionalFormatting>
  <conditionalFormatting sqref="E44:M45 E61:AF61 AA44:AF45 AA36:AF36">
    <cfRule type="expression" dxfId="5530" priority="199">
      <formula>E$9&gt;=20/24</formula>
    </cfRule>
    <cfRule type="expression" dxfId="5529" priority="200">
      <formula>AND(E$9&gt;=14/24,E$9&lt;20/24)</formula>
    </cfRule>
    <cfRule type="expression" dxfId="5528" priority="201">
      <formula>AND(E$9&gt;=8/24,E$9&lt;14/24)</formula>
    </cfRule>
    <cfRule type="expression" dxfId="5527" priority="202">
      <formula>E$9&lt;8/24</formula>
    </cfRule>
  </conditionalFormatting>
  <conditionalFormatting sqref="E43:M43 U43:AF43">
    <cfRule type="expression" dxfId="5526" priority="195">
      <formula>E$9&gt;=20/24</formula>
    </cfRule>
    <cfRule type="expression" dxfId="5525" priority="196">
      <formula>AND(E$9&gt;=14/24,E$9&lt;20/24)</formula>
    </cfRule>
    <cfRule type="expression" dxfId="5524" priority="197">
      <formula>AND(E$9&gt;=8/24,E$9&lt;14/24)</formula>
    </cfRule>
    <cfRule type="expression" dxfId="5523" priority="198">
      <formula>E$9&lt;8/24</formula>
    </cfRule>
  </conditionalFormatting>
  <conditionalFormatting sqref="E43:M45 U43:Z43 AA43:AF45 AA36:AF36">
    <cfRule type="expression" dxfId="5522" priority="194">
      <formula>E36&gt;$AG36</formula>
    </cfRule>
  </conditionalFormatting>
  <conditionalFormatting sqref="C86:AF86 E62:L63 S28:AA28 M62:AF71 S30:AA30 AA29 C73:AF76 M57:AF59 C90:AF96 S12:AF14 S18:AF22 S24:AF26 S32:AF32 S16:AF16 AB28:AF30">
    <cfRule type="expression" dxfId="5521" priority="190">
      <formula>C$9&gt;=20/24</formula>
    </cfRule>
    <cfRule type="expression" dxfId="5520" priority="191">
      <formula>AND(C$9&gt;=14/24,C$9&lt;20/24)</formula>
    </cfRule>
    <cfRule type="expression" dxfId="5519" priority="192">
      <formula>AND(C$9&gt;=8/24,C$9&lt;14/24)</formula>
    </cfRule>
    <cfRule type="expression" dxfId="5518" priority="193">
      <formula>C$9&lt;8/24</formula>
    </cfRule>
  </conditionalFormatting>
  <conditionalFormatting sqref="S33:AF33">
    <cfRule type="expression" dxfId="5517" priority="186">
      <formula>S$9&gt;=20/24</formula>
    </cfRule>
    <cfRule type="expression" dxfId="5516" priority="187">
      <formula>AND(S$9&gt;=14/24,S$9&lt;20/24)</formula>
    </cfRule>
    <cfRule type="expression" dxfId="5515" priority="188">
      <formula>AND(S$9&gt;=8/24,S$9&lt;14/24)</formula>
    </cfRule>
    <cfRule type="expression" dxfId="5514" priority="189">
      <formula>S$9&lt;8/24</formula>
    </cfRule>
  </conditionalFormatting>
  <conditionalFormatting sqref="C55:AF55 E46:M47 S24:AA28 S30:AA30 AA29 AB46:AF47 M57:AF59 S18:AF22 S32:AF33 AB24:AF30">
    <cfRule type="expression" dxfId="5513" priority="185">
      <formula>C18&gt;$AG18</formula>
    </cfRule>
  </conditionalFormatting>
  <conditionalFormatting sqref="S35:AF35">
    <cfRule type="expression" dxfId="5512" priority="181">
      <formula>S$9&gt;=20/24</formula>
    </cfRule>
    <cfRule type="expression" dxfId="5511" priority="182">
      <formula>AND(S$9&gt;=14/24,S$9&lt;20/24)</formula>
    </cfRule>
    <cfRule type="expression" dxfId="5510" priority="183">
      <formula>AND(S$9&gt;=8/24,S$9&lt;14/24)</formula>
    </cfRule>
    <cfRule type="expression" dxfId="5509" priority="184">
      <formula>S$9&lt;8/24</formula>
    </cfRule>
  </conditionalFormatting>
  <conditionalFormatting sqref="S15:AF15">
    <cfRule type="expression" dxfId="5508" priority="177">
      <formula>S$9&gt;=20/24</formula>
    </cfRule>
    <cfRule type="expression" dxfId="5507" priority="178">
      <formula>AND(S$9&gt;=14/24,S$9&lt;20/24)</formula>
    </cfRule>
    <cfRule type="expression" dxfId="5506" priority="179">
      <formula>AND(S$9&gt;=8/24,S$9&lt;14/24)</formula>
    </cfRule>
    <cfRule type="expression" dxfId="5505" priority="180">
      <formula>S$9&lt;8/24</formula>
    </cfRule>
  </conditionalFormatting>
  <conditionalFormatting sqref="S34:AF34">
    <cfRule type="expression" dxfId="5504" priority="173">
      <formula>S$9&gt;=20/24</formula>
    </cfRule>
    <cfRule type="expression" dxfId="5503" priority="174">
      <formula>AND(S$9&gt;=14/24,S$9&lt;20/24)</formula>
    </cfRule>
    <cfRule type="expression" dxfId="5502" priority="175">
      <formula>AND(S$9&gt;=8/24,S$9&lt;14/24)</formula>
    </cfRule>
    <cfRule type="expression" dxfId="5501" priority="176">
      <formula>S$9&lt;8/24</formula>
    </cfRule>
  </conditionalFormatting>
  <conditionalFormatting sqref="S34:AF34">
    <cfRule type="expression" dxfId="5500" priority="172">
      <formula>S34&gt;$AG34</formula>
    </cfRule>
  </conditionalFormatting>
  <conditionalFormatting sqref="S11:Z11">
    <cfRule type="expression" dxfId="5499" priority="168">
      <formula>S$9&gt;=20/24</formula>
    </cfRule>
    <cfRule type="expression" dxfId="5498" priority="169">
      <formula>AND(S$9&gt;=14/24,S$9&lt;20/24)</formula>
    </cfRule>
    <cfRule type="expression" dxfId="5497" priority="170">
      <formula>AND(S$9&gt;=8/24,S$9&lt;14/24)</formula>
    </cfRule>
    <cfRule type="expression" dxfId="5496" priority="171">
      <formula>S$9&lt;8/24</formula>
    </cfRule>
  </conditionalFormatting>
  <conditionalFormatting sqref="AA46:AA47 AB48:AF54">
    <cfRule type="expression" dxfId="5495" priority="164">
      <formula>AA$9&gt;=20/24</formula>
    </cfRule>
    <cfRule type="expression" dxfId="5494" priority="165">
      <formula>AND(AA$9&gt;=14/24,AA$9&lt;20/24)</formula>
    </cfRule>
    <cfRule type="expression" dxfId="5493" priority="166">
      <formula>AND(AA$9&gt;=8/24,AA$9&lt;14/24)</formula>
    </cfRule>
    <cfRule type="expression" dxfId="5492" priority="167">
      <formula>AA$9&lt;8/24</formula>
    </cfRule>
  </conditionalFormatting>
  <conditionalFormatting sqref="AA46:AA47 AB48:AF54">
    <cfRule type="expression" dxfId="5491" priority="163">
      <formula>AA46&gt;$AG46</formula>
    </cfRule>
  </conditionalFormatting>
  <conditionalFormatting sqref="AA48:AA54 N43:T47 U44:Z47">
    <cfRule type="expression" dxfId="5490" priority="159">
      <formula>N$9&gt;=20/24</formula>
    </cfRule>
    <cfRule type="expression" dxfId="5489" priority="160">
      <formula>AND(N$9&gt;=14/24,N$9&lt;20/24)</formula>
    </cfRule>
    <cfRule type="expression" dxfId="5488" priority="161">
      <formula>AND(N$9&gt;=8/24,N$9&lt;14/24)</formula>
    </cfRule>
    <cfRule type="expression" dxfId="5487" priority="162">
      <formula>N$9&lt;8/24</formula>
    </cfRule>
  </conditionalFormatting>
  <conditionalFormatting sqref="AA48:AA54 N43:T47 U44:Z47">
    <cfRule type="expression" dxfId="5486" priority="158">
      <formula>N43&gt;$AG43</formula>
    </cfRule>
  </conditionalFormatting>
  <conditionalFormatting sqref="S27:AF27">
    <cfRule type="expression" dxfId="5485" priority="154">
      <formula>S$9&gt;=20/24</formula>
    </cfRule>
    <cfRule type="expression" dxfId="5484" priority="155">
      <formula>AND(S$9&gt;=14/24,S$9&lt;20/24)</formula>
    </cfRule>
    <cfRule type="expression" dxfId="5483" priority="156">
      <formula>AND(S$9&gt;=8/24,S$9&lt;14/24)</formula>
    </cfRule>
    <cfRule type="expression" dxfId="5482" priority="157">
      <formula>S$9&lt;8/24</formula>
    </cfRule>
  </conditionalFormatting>
  <conditionalFormatting sqref="C14:R14 S17:AF17 S23:AF23">
    <cfRule type="expression" dxfId="5481" priority="150">
      <formula>C$9&gt;=20/24</formula>
    </cfRule>
    <cfRule type="expression" dxfId="5480" priority="151">
      <formula>AND(C$9&gt;=14/24,C$9&lt;20/24)</formula>
    </cfRule>
    <cfRule type="expression" dxfId="5479" priority="152">
      <formula>AND(C$9&gt;=8/24,C$9&lt;14/24)</formula>
    </cfRule>
    <cfRule type="expression" dxfId="5478" priority="153">
      <formula>C$9&lt;8/24</formula>
    </cfRule>
  </conditionalFormatting>
  <conditionalFormatting sqref="S17:AF17 S23:AF23">
    <cfRule type="expression" dxfId="5477" priority="145">
      <formula>S17&gt;$AG17</formula>
    </cfRule>
  </conditionalFormatting>
  <conditionalFormatting sqref="E48:Z48">
    <cfRule type="expression" dxfId="5476" priority="114">
      <formula>E$9&gt;=20/24</formula>
    </cfRule>
    <cfRule type="expression" dxfId="5475" priority="115">
      <formula>AND(E$9&gt;=14/24,E$9&lt;20/24)</formula>
    </cfRule>
    <cfRule type="expression" dxfId="5474" priority="116">
      <formula>AND(E$9&gt;=8/24,E$9&lt;14/24)</formula>
    </cfRule>
    <cfRule type="expression" dxfId="5473" priority="117">
      <formula>E$9&lt;8/24</formula>
    </cfRule>
  </conditionalFormatting>
  <conditionalFormatting sqref="E48:Z48">
    <cfRule type="expression" dxfId="5472" priority="113">
      <formula>E48&gt;$AG48</formula>
    </cfRule>
  </conditionalFormatting>
  <conditionalFormatting sqref="B99:B105 B87:AF87 B11:R11 B78:AF78">
    <cfRule type="expression" dxfId="5471" priority="100">
      <formula>B$9&gt;=20/24</formula>
    </cfRule>
    <cfRule type="expression" dxfId="5470" priority="101">
      <formula>AND(B$9&gt;=14/24,B$9&lt;20/24)</formula>
    </cfRule>
    <cfRule type="expression" dxfId="5469" priority="102">
      <formula>AND(B$9&gt;=8/24,B$9&lt;14/24)</formula>
    </cfRule>
    <cfRule type="expression" dxfId="5468" priority="103">
      <formula>B$9&lt;8/24</formula>
    </cfRule>
  </conditionalFormatting>
  <conditionalFormatting sqref="B37:W37">
    <cfRule type="expression" dxfId="5467" priority="96">
      <formula>B$9&gt;=20/24</formula>
    </cfRule>
    <cfRule type="expression" dxfId="5466" priority="97">
      <formula>AND(B$9&gt;=14/24,B$9&lt;20/24)</formula>
    </cfRule>
    <cfRule type="expression" dxfId="5465" priority="98">
      <formula>AND(B$9&gt;=8/24,B$9&lt;14/24)</formula>
    </cfRule>
    <cfRule type="expression" dxfId="5464" priority="99">
      <formula>B$9&lt;8/24</formula>
    </cfRule>
  </conditionalFormatting>
  <conditionalFormatting sqref="B11:R11 B37:W37">
    <cfRule type="expression" dxfId="5463" priority="95">
      <formula>B11&gt;$AG11</formula>
    </cfRule>
  </conditionalFormatting>
  <conditionalFormatting sqref="B89">
    <cfRule type="expression" dxfId="5462" priority="91">
      <formula>B$9&gt;=20/24</formula>
    </cfRule>
    <cfRule type="expression" dxfId="5461" priority="92">
      <formula>AND(B$9&gt;=14/24,B$9&lt;20/24)</formula>
    </cfRule>
    <cfRule type="expression" dxfId="5460" priority="93">
      <formula>AND(B$9&gt;=8/24,B$9&lt;14/24)</formula>
    </cfRule>
    <cfRule type="expression" dxfId="5459" priority="94">
      <formula>B$9&lt;8/24</formula>
    </cfRule>
  </conditionalFormatting>
  <conditionalFormatting sqref="B44:D45 B61:D61 B36:Z36">
    <cfRule type="expression" dxfId="5458" priority="87">
      <formula>B$9&gt;=20/24</formula>
    </cfRule>
    <cfRule type="expression" dxfId="5457" priority="88">
      <formula>AND(B$9&gt;=14/24,B$9&lt;20/24)</formula>
    </cfRule>
    <cfRule type="expression" dxfId="5456" priority="89">
      <formula>AND(B$9&gt;=8/24,B$9&lt;14/24)</formula>
    </cfRule>
    <cfRule type="expression" dxfId="5455" priority="90">
      <formula>B$9&lt;8/24</formula>
    </cfRule>
  </conditionalFormatting>
  <conditionalFormatting sqref="B43:D43">
    <cfRule type="expression" dxfId="5454" priority="83">
      <formula>B$9&gt;=20/24</formula>
    </cfRule>
    <cfRule type="expression" dxfId="5453" priority="84">
      <formula>AND(B$9&gt;=14/24,B$9&lt;20/24)</formula>
    </cfRule>
    <cfRule type="expression" dxfId="5452" priority="85">
      <formula>AND(B$9&gt;=8/24,B$9&lt;14/24)</formula>
    </cfRule>
    <cfRule type="expression" dxfId="5451" priority="86">
      <formula>B$9&lt;8/24</formula>
    </cfRule>
  </conditionalFormatting>
  <conditionalFormatting sqref="B43:D45 B36:Z36">
    <cfRule type="expression" dxfId="5450" priority="82">
      <formula>B36&gt;$AG36</formula>
    </cfRule>
  </conditionalFormatting>
  <conditionalFormatting sqref="B90:B96 B12:B14 B57:B60 B73:B77 B79:AF79 B86 C60:AG60 C77:AG77 B88:AF88 B62:D71 C57:L59 E64:L71 C12:R13 B16:R16 B28:R28 B18:R22 B24:R26 B32:R32 B30:R30 B29:Z29">
    <cfRule type="expression" dxfId="5449" priority="78">
      <formula>B$9&gt;=20/24</formula>
    </cfRule>
    <cfRule type="expression" dxfId="5448" priority="79">
      <formula>AND(B$9&gt;=14/24,B$9&lt;20/24)</formula>
    </cfRule>
    <cfRule type="expression" dxfId="5447" priority="80">
      <formula>AND(B$9&gt;=8/24,B$9&lt;14/24)</formula>
    </cfRule>
    <cfRule type="expression" dxfId="5446" priority="81">
      <formula>B$9&lt;8/24</formula>
    </cfRule>
  </conditionalFormatting>
  <conditionalFormatting sqref="B33:R33">
    <cfRule type="expression" dxfId="5445" priority="74">
      <formula>B$9&gt;=20/24</formula>
    </cfRule>
    <cfRule type="expression" dxfId="5444" priority="75">
      <formula>AND(B$9&gt;=14/24,B$9&lt;20/24)</formula>
    </cfRule>
    <cfRule type="expression" dxfId="5443" priority="76">
      <formula>AND(B$9&gt;=8/24,B$9&lt;14/24)</formula>
    </cfRule>
    <cfRule type="expression" dxfId="5442" priority="77">
      <formula>B$9&lt;8/24</formula>
    </cfRule>
  </conditionalFormatting>
  <conditionalFormatting sqref="B55:B60 B38:AG38 C56:AG56 C60:AG60 B46:D47 C57:L59 B18:R22 B24:R28 B32:R33 B30:R30 B29:Z29">
    <cfRule type="expression" dxfId="5441" priority="73">
      <formula>B18&gt;$AG18</formula>
    </cfRule>
  </conditionalFormatting>
  <conditionalFormatting sqref="B35:R35">
    <cfRule type="expression" dxfId="5440" priority="69">
      <formula>B$9&gt;=20/24</formula>
    </cfRule>
    <cfRule type="expression" dxfId="5439" priority="70">
      <formula>AND(B$9&gt;=14/24,B$9&lt;20/24)</formula>
    </cfRule>
    <cfRule type="expression" dxfId="5438" priority="71">
      <formula>AND(B$9&gt;=8/24,B$9&lt;14/24)</formula>
    </cfRule>
    <cfRule type="expression" dxfId="5437" priority="72">
      <formula>B$9&lt;8/24</formula>
    </cfRule>
  </conditionalFormatting>
  <conditionalFormatting sqref="B15:R15">
    <cfRule type="expression" dxfId="5436" priority="65">
      <formula>B$9&gt;=20/24</formula>
    </cfRule>
    <cfRule type="expression" dxfId="5435" priority="66">
      <formula>AND(B$9&gt;=14/24,B$9&lt;20/24)</formula>
    </cfRule>
    <cfRule type="expression" dxfId="5434" priority="67">
      <formula>AND(B$9&gt;=8/24,B$9&lt;14/24)</formula>
    </cfRule>
    <cfRule type="expression" dxfId="5433" priority="68">
      <formula>B$9&lt;8/24</formula>
    </cfRule>
  </conditionalFormatting>
  <conditionalFormatting sqref="B34:R34">
    <cfRule type="expression" dxfId="5432" priority="61">
      <formula>B$9&gt;=20/24</formula>
    </cfRule>
    <cfRule type="expression" dxfId="5431" priority="62">
      <formula>AND(B$9&gt;=14/24,B$9&lt;20/24)</formula>
    </cfRule>
    <cfRule type="expression" dxfId="5430" priority="63">
      <formula>AND(B$9&gt;=8/24,B$9&lt;14/24)</formula>
    </cfRule>
    <cfRule type="expression" dxfId="5429" priority="64">
      <formula>B$9&lt;8/24</formula>
    </cfRule>
  </conditionalFormatting>
  <conditionalFormatting sqref="B34:R34">
    <cfRule type="expression" dxfId="5428" priority="60">
      <formula>B34&gt;$AG34</formula>
    </cfRule>
  </conditionalFormatting>
  <conditionalFormatting sqref="B48:D54 E49:Z54">
    <cfRule type="expression" dxfId="5427" priority="56">
      <formula>B$9&gt;=20/24</formula>
    </cfRule>
    <cfRule type="expression" dxfId="5426" priority="57">
      <formula>AND(B$9&gt;=14/24,B$9&lt;20/24)</formula>
    </cfRule>
    <cfRule type="expression" dxfId="5425" priority="58">
      <formula>AND(B$9&gt;=8/24,B$9&lt;14/24)</formula>
    </cfRule>
    <cfRule type="expression" dxfId="5424" priority="59">
      <formula>B$9&lt;8/24</formula>
    </cfRule>
  </conditionalFormatting>
  <conditionalFormatting sqref="B48:D54 E49:Z54">
    <cfRule type="expression" dxfId="5423" priority="55">
      <formula>B48&gt;$AG48</formula>
    </cfRule>
  </conditionalFormatting>
  <conditionalFormatting sqref="B27:R27">
    <cfRule type="expression" dxfId="5422" priority="51">
      <formula>B$9&gt;=20/24</formula>
    </cfRule>
    <cfRule type="expression" dxfId="5421" priority="52">
      <formula>AND(B$9&gt;=14/24,B$9&lt;20/24)</formula>
    </cfRule>
    <cfRule type="expression" dxfId="5420" priority="53">
      <formula>AND(B$9&gt;=8/24,B$9&lt;14/24)</formula>
    </cfRule>
    <cfRule type="expression" dxfId="5419" priority="54">
      <formula>B$9&lt;8/24</formula>
    </cfRule>
  </conditionalFormatting>
  <conditionalFormatting sqref="B17:R17 B23:R23">
    <cfRule type="expression" dxfId="5418" priority="47">
      <formula>B$9&gt;=20/24</formula>
    </cfRule>
    <cfRule type="expression" dxfId="5417" priority="48">
      <formula>AND(B$9&gt;=14/24,B$9&lt;20/24)</formula>
    </cfRule>
    <cfRule type="expression" dxfId="5416" priority="49">
      <formula>AND(B$9&gt;=8/24,B$9&lt;14/24)</formula>
    </cfRule>
    <cfRule type="expression" dxfId="5415" priority="50">
      <formula>B$9&lt;8/24</formula>
    </cfRule>
  </conditionalFormatting>
  <conditionalFormatting sqref="B17:R17 B23:R23">
    <cfRule type="expression" dxfId="5414" priority="46">
      <formula>B17&gt;$AG17</formula>
    </cfRule>
  </conditionalFormatting>
  <conditionalFormatting sqref="A34">
    <cfRule type="expression" dxfId="5413" priority="45">
      <formula>$AH34=0</formula>
    </cfRule>
  </conditionalFormatting>
  <conditionalFormatting sqref="B72:AF72">
    <cfRule type="expression" dxfId="5412" priority="41">
      <formula>B$9&gt;=20/24</formula>
    </cfRule>
    <cfRule type="expression" dxfId="5411" priority="42">
      <formula>AND(B$9&gt;=14/24,B$9&lt;20/24)</formula>
    </cfRule>
    <cfRule type="expression" dxfId="5410" priority="43">
      <formula>AND(B$9&gt;=8/24,B$9&lt;14/24)</formula>
    </cfRule>
    <cfRule type="expression" dxfId="5409" priority="44">
      <formula>B$9&lt;8/24</formula>
    </cfRule>
  </conditionalFormatting>
  <conditionalFormatting sqref="B81:AF85">
    <cfRule type="expression" dxfId="5408" priority="37">
      <formula>B$9&gt;=20/24</formula>
    </cfRule>
    <cfRule type="expression" dxfId="5407" priority="38">
      <formula>AND(B$9&gt;=14/24,B$9&lt;20/24)</formula>
    </cfRule>
    <cfRule type="expression" dxfId="5406" priority="39">
      <formula>AND(B$9&gt;=8/24,B$9&lt;14/24)</formula>
    </cfRule>
    <cfRule type="expression" dxfId="5405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G39:AF41">
    <cfRule type="expression" dxfId="5404" priority="33">
      <formula>G$9&gt;=20/24</formula>
    </cfRule>
    <cfRule type="expression" dxfId="5403" priority="34">
      <formula>AND(G$9&gt;=14/24,G$9&lt;20/24)</formula>
    </cfRule>
    <cfRule type="expression" dxfId="5402" priority="35">
      <formula>AND(G$9&gt;=8/24,G$9&lt;14/24)</formula>
    </cfRule>
    <cfRule type="expression" dxfId="5401" priority="36">
      <formula>G$9&lt;8/24</formula>
    </cfRule>
  </conditionalFormatting>
  <conditionalFormatting sqref="G39:AF41">
    <cfRule type="expression" dxfId="5400" priority="32">
      <formula>G39&gt;$AG39</formula>
    </cfRule>
  </conditionalFormatting>
  <conditionalFormatting sqref="B39:B42 C42:AG42 C39:F41">
    <cfRule type="expression" dxfId="5399" priority="28">
      <formula>B$9&gt;=20/24</formula>
    </cfRule>
    <cfRule type="expression" dxfId="5398" priority="29">
      <formula>AND(B$9&gt;=14/24,B$9&lt;20/24)</formula>
    </cfRule>
    <cfRule type="expression" dxfId="5397" priority="30">
      <formula>AND(B$9&gt;=8/24,B$9&lt;14/24)</formula>
    </cfRule>
    <cfRule type="expression" dxfId="5396" priority="31">
      <formula>B$9&lt;8/24</formula>
    </cfRule>
  </conditionalFormatting>
  <conditionalFormatting sqref="B39:B42 C42:AG42 C39:F41">
    <cfRule type="expression" dxfId="5395" priority="27">
      <formula>B39&gt;$AG39</formula>
    </cfRule>
  </conditionalFormatting>
  <conditionalFormatting sqref="C97:AF97">
    <cfRule type="expression" dxfId="5394" priority="23">
      <formula>C$9&gt;=20/24</formula>
    </cfRule>
    <cfRule type="expression" dxfId="5393" priority="24">
      <formula>AND(C$9&gt;=14/24,C$9&lt;20/24)</formula>
    </cfRule>
    <cfRule type="expression" dxfId="5392" priority="25">
      <formula>AND(C$9&gt;=8/24,C$9&lt;14/24)</formula>
    </cfRule>
    <cfRule type="expression" dxfId="5391" priority="26">
      <formula>C$9&lt;8/24</formula>
    </cfRule>
  </conditionalFormatting>
  <conditionalFormatting sqref="B97">
    <cfRule type="expression" dxfId="5390" priority="19">
      <formula>B$9&gt;=20/24</formula>
    </cfRule>
    <cfRule type="expression" dxfId="5389" priority="20">
      <formula>AND(B$9&gt;=14/24,B$9&lt;20/24)</formula>
    </cfRule>
    <cfRule type="expression" dxfId="5388" priority="21">
      <formula>AND(B$9&gt;=8/24,B$9&lt;14/24)</formula>
    </cfRule>
    <cfRule type="expression" dxfId="5387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386" priority="12">
      <formula>$AH31=0</formula>
    </cfRule>
  </conditionalFormatting>
  <conditionalFormatting sqref="A80">
    <cfRule type="expression" dxfId="5385" priority="10">
      <formula>$AH80=0</formula>
    </cfRule>
  </conditionalFormatting>
  <conditionalFormatting sqref="A77">
    <cfRule type="expression" dxfId="5384" priority="11">
      <formula>$AH77=0</formula>
    </cfRule>
  </conditionalFormatting>
  <conditionalFormatting sqref="A106">
    <cfRule type="expression" dxfId="5383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51A8CE4D-EABB-477F-B3C3-D73C25EC258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23FF0033-CEB3-4496-92CC-E4C1677B7F2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34A0823C-C113-4F12-90BE-D308C40454B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3173262F-4760-4B25-A589-4BA2F79DFBB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844A488E-E7D6-497E-9FD4-54239F1AB345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B4BEEDDF-0078-4519-8673-EC4507AE5FF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BBDBFF4B-87D6-4A60-BC20-C5C4B612C9A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F89C51C6-9D71-4735-83D9-562D92D8CDC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C221E550-537D-4C0B-AFEC-F8C708A3275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2DAD4558-66AB-4BC1-AEDB-5D55EBD0F12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7D7FF7FD-26CA-4CE5-B082-85E9064685E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CA8AF854-6064-44D2-920B-B5F0A4916E1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11DCBD36-D972-4224-92B8-2F9F6ED9DEB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CJ493"/>
  <sheetViews>
    <sheetView zoomScaleNormal="100" workbookViewId="0">
      <pane xSplit="1" ySplit="10" topLeftCell="E11" activePane="bottomRight" state="frozen"/>
      <selection activeCell="AF88" sqref="AF88"/>
      <selection pane="topRight" activeCell="AF88" sqref="AF88"/>
      <selection pane="bottomLeft" activeCell="AF88" sqref="AF88"/>
      <selection pane="bottomRight" activeCell="Y28" sqref="Y28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2079/02/13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2.4</v>
      </c>
      <c r="L5" s="205">
        <f t="shared" si="0"/>
        <v>33.4</v>
      </c>
      <c r="M5" s="205">
        <f t="shared" si="0"/>
        <v>12.1</v>
      </c>
      <c r="N5" s="205">
        <f t="shared" si="0"/>
        <v>14.4</v>
      </c>
      <c r="O5" s="205">
        <f t="shared" si="0"/>
        <v>18.899999999999999</v>
      </c>
      <c r="P5" s="205">
        <f t="shared" si="0"/>
        <v>19.399999999999999</v>
      </c>
      <c r="Q5" s="205">
        <f t="shared" si="0"/>
        <v>19.399999999999999</v>
      </c>
      <c r="R5" s="205">
        <f t="shared" si="0"/>
        <v>13.2</v>
      </c>
      <c r="S5" s="205">
        <f t="shared" si="0"/>
        <v>30.1</v>
      </c>
      <c r="T5" s="205">
        <f t="shared" si="0"/>
        <v>30.1</v>
      </c>
      <c r="U5" s="205">
        <f t="shared" si="0"/>
        <v>8.6999999999999993</v>
      </c>
      <c r="V5" s="205">
        <f t="shared" si="0"/>
        <v>7</v>
      </c>
      <c r="W5" s="205">
        <f t="shared" si="0"/>
        <v>5.9</v>
      </c>
      <c r="X5" s="205">
        <f t="shared" si="0"/>
        <v>5.6</v>
      </c>
      <c r="Y5" s="205">
        <f t="shared" si="0"/>
        <v>22.7</v>
      </c>
      <c r="Z5" s="205">
        <f t="shared" si="0"/>
        <v>25.7</v>
      </c>
      <c r="AA5" s="205">
        <f t="shared" si="0"/>
        <v>41.1</v>
      </c>
      <c r="AB5" s="205">
        <f t="shared" si="0"/>
        <v>42.4</v>
      </c>
      <c r="AC5" s="205">
        <f t="shared" si="0"/>
        <v>40.799999999999997</v>
      </c>
      <c r="AD5" s="205">
        <f t="shared" si="0"/>
        <v>44</v>
      </c>
      <c r="AE5" s="205">
        <f t="shared" si="0"/>
        <v>22.8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1755MW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Load=1667</v>
      </c>
      <c r="B7" s="210">
        <f>B79</f>
        <v>1752.88</v>
      </c>
      <c r="C7" s="210">
        <f t="shared" ref="C7:AF7" si="1">C79</f>
        <v>1748.14</v>
      </c>
      <c r="D7" s="210">
        <f t="shared" si="1"/>
        <v>1749.24</v>
      </c>
      <c r="E7" s="210">
        <f t="shared" si="1"/>
        <v>1710.44</v>
      </c>
      <c r="F7" s="210">
        <f t="shared" si="1"/>
        <v>1716.8400000000001</v>
      </c>
      <c r="G7" s="210">
        <f t="shared" si="1"/>
        <v>1672.24</v>
      </c>
      <c r="H7" s="210">
        <f t="shared" si="1"/>
        <v>1672.24</v>
      </c>
      <c r="I7" s="210">
        <f t="shared" si="1"/>
        <v>1672.24</v>
      </c>
      <c r="J7" s="210">
        <f t="shared" si="1"/>
        <v>1667.04</v>
      </c>
      <c r="K7" s="210">
        <f t="shared" si="1"/>
        <v>1690.54</v>
      </c>
      <c r="L7" s="210">
        <f t="shared" si="1"/>
        <v>1736.14</v>
      </c>
      <c r="M7" s="210">
        <f t="shared" si="1"/>
        <v>1754.8400000000001</v>
      </c>
      <c r="N7" s="210">
        <f t="shared" si="1"/>
        <v>1738.54</v>
      </c>
      <c r="O7" s="210">
        <f t="shared" si="1"/>
        <v>1788.24</v>
      </c>
      <c r="P7" s="210">
        <f t="shared" si="1"/>
        <v>1795.7400000000002</v>
      </c>
      <c r="Q7" s="210">
        <f t="shared" si="1"/>
        <v>1809.7399999999998</v>
      </c>
      <c r="R7" s="210">
        <f t="shared" si="1"/>
        <v>1809.7399999999998</v>
      </c>
      <c r="S7" s="210">
        <f t="shared" si="1"/>
        <v>1810.74</v>
      </c>
      <c r="T7" s="210">
        <f t="shared" si="1"/>
        <v>1873.6399999999999</v>
      </c>
      <c r="U7" s="210">
        <f t="shared" si="1"/>
        <v>1833.6399999999999</v>
      </c>
      <c r="V7" s="210">
        <f t="shared" si="1"/>
        <v>1795.24</v>
      </c>
      <c r="W7" s="210">
        <f t="shared" si="1"/>
        <v>1783.54</v>
      </c>
      <c r="X7" s="210">
        <f t="shared" si="1"/>
        <v>1766.44</v>
      </c>
      <c r="Y7" s="210">
        <f t="shared" si="1"/>
        <v>1766.1399999999999</v>
      </c>
      <c r="Z7" s="210">
        <f t="shared" si="1"/>
        <v>1793.9399999999998</v>
      </c>
      <c r="AA7" s="210">
        <f t="shared" si="1"/>
        <v>1796.9399999999998</v>
      </c>
      <c r="AB7" s="210">
        <f t="shared" si="1"/>
        <v>1842.6399999999999</v>
      </c>
      <c r="AC7" s="210">
        <f t="shared" si="1"/>
        <v>1843.94</v>
      </c>
      <c r="AD7" s="210">
        <f t="shared" si="1"/>
        <v>1835.34</v>
      </c>
      <c r="AE7" s="210">
        <f t="shared" si="1"/>
        <v>1836.54</v>
      </c>
      <c r="AF7" s="210">
        <f t="shared" si="1"/>
        <v>1767.2399999999998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4">
        <v>53.5</v>
      </c>
      <c r="C11" s="224">
        <v>53.5</v>
      </c>
      <c r="D11" s="224">
        <v>53.6</v>
      </c>
      <c r="E11" s="224">
        <v>53.6</v>
      </c>
      <c r="F11" s="224">
        <v>53.6</v>
      </c>
      <c r="G11" s="224">
        <v>53.6</v>
      </c>
      <c r="H11" s="224">
        <v>53.6</v>
      </c>
      <c r="I11" s="224">
        <v>53.6</v>
      </c>
      <c r="J11" s="224">
        <v>53.6</v>
      </c>
      <c r="K11" s="224">
        <v>53.6</v>
      </c>
      <c r="L11" s="224">
        <v>53.6</v>
      </c>
      <c r="M11" s="221">
        <v>53.5</v>
      </c>
      <c r="N11" s="221">
        <v>53.5</v>
      </c>
      <c r="O11" s="221">
        <v>53.5</v>
      </c>
      <c r="P11" s="221">
        <v>53.5</v>
      </c>
      <c r="Q11" s="221">
        <v>53.5</v>
      </c>
      <c r="R11" s="221">
        <v>53.5</v>
      </c>
      <c r="S11" s="221">
        <v>53.5</v>
      </c>
      <c r="T11" s="221">
        <v>53.5</v>
      </c>
      <c r="U11" s="221">
        <v>53.5</v>
      </c>
      <c r="V11" s="221">
        <v>53.5</v>
      </c>
      <c r="W11" s="221">
        <v>53.5</v>
      </c>
      <c r="X11" s="221">
        <v>53.5</v>
      </c>
      <c r="Y11" s="221">
        <v>53.5</v>
      </c>
      <c r="Z11" s="221">
        <v>53.5</v>
      </c>
      <c r="AA11" s="221">
        <v>53.5</v>
      </c>
      <c r="AB11" s="221">
        <v>53.5</v>
      </c>
      <c r="AC11" s="221">
        <v>53.5</v>
      </c>
      <c r="AD11" s="221">
        <v>53.5</v>
      </c>
      <c r="AE11" s="221">
        <v>53.5</v>
      </c>
      <c r="AF11" s="221">
        <v>53.5</v>
      </c>
      <c r="AG11" s="225">
        <v>52.4</v>
      </c>
      <c r="AH11" s="226">
        <f>MAX(B11:AF11)</f>
        <v>53.6</v>
      </c>
      <c r="AI11" s="227">
        <f>MIN(B11:AF11)</f>
        <v>53.5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50.04</v>
      </c>
      <c r="C12" s="221">
        <v>50.1</v>
      </c>
      <c r="D12" s="221">
        <v>50.6</v>
      </c>
      <c r="E12" s="221">
        <v>50.6</v>
      </c>
      <c r="F12" s="221">
        <v>50.6</v>
      </c>
      <c r="G12" s="221">
        <v>50.6</v>
      </c>
      <c r="H12" s="221">
        <v>50.6</v>
      </c>
      <c r="I12" s="221">
        <v>50.6</v>
      </c>
      <c r="J12" s="221">
        <v>50.6</v>
      </c>
      <c r="K12" s="221">
        <v>50.6</v>
      </c>
      <c r="L12" s="221">
        <v>50.6</v>
      </c>
      <c r="M12" s="221">
        <v>50.5</v>
      </c>
      <c r="N12" s="221">
        <v>50.5</v>
      </c>
      <c r="O12" s="221">
        <v>50.2</v>
      </c>
      <c r="P12" s="221">
        <v>50.5</v>
      </c>
      <c r="Q12" s="221">
        <v>50.5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50.5</v>
      </c>
      <c r="AB12" s="221">
        <v>50.5</v>
      </c>
      <c r="AC12" s="221">
        <v>50.5</v>
      </c>
      <c r="AD12" s="221">
        <v>50.5</v>
      </c>
      <c r="AE12" s="221">
        <v>50.5</v>
      </c>
      <c r="AF12" s="221">
        <v>50.5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50.04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45.9</v>
      </c>
      <c r="C13" s="221">
        <v>46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45.8</v>
      </c>
      <c r="N13" s="221">
        <v>45.8</v>
      </c>
      <c r="O13" s="221">
        <v>45.8</v>
      </c>
      <c r="P13" s="221">
        <v>45.9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45.9</v>
      </c>
      <c r="Y13" s="221">
        <v>45.9</v>
      </c>
      <c r="Z13" s="221">
        <v>45.9</v>
      </c>
      <c r="AA13" s="221">
        <v>45.9</v>
      </c>
      <c r="AB13" s="221">
        <v>45.9</v>
      </c>
      <c r="AC13" s="221">
        <v>45.9</v>
      </c>
      <c r="AD13" s="221">
        <v>45.9</v>
      </c>
      <c r="AE13" s="221">
        <v>45.9</v>
      </c>
      <c r="AF13" s="221">
        <v>45.9</v>
      </c>
      <c r="AG13" s="229">
        <v>45</v>
      </c>
      <c r="AH13" s="226">
        <f t="shared" si="2"/>
        <v>46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26</v>
      </c>
      <c r="D14" s="221">
        <v>26</v>
      </c>
      <c r="E14" s="221">
        <v>26</v>
      </c>
      <c r="F14" s="221">
        <v>26</v>
      </c>
      <c r="G14" s="221">
        <v>26</v>
      </c>
      <c r="H14" s="221">
        <v>26</v>
      </c>
      <c r="I14" s="221">
        <v>26</v>
      </c>
      <c r="J14" s="221">
        <v>26</v>
      </c>
      <c r="K14" s="221">
        <v>26</v>
      </c>
      <c r="L14" s="221">
        <v>30</v>
      </c>
      <c r="M14" s="221">
        <v>30</v>
      </c>
      <c r="N14" s="221">
        <v>30</v>
      </c>
      <c r="O14" s="221">
        <v>30</v>
      </c>
      <c r="P14" s="221">
        <v>35</v>
      </c>
      <c r="Q14" s="221">
        <v>35</v>
      </c>
      <c r="R14" s="221">
        <v>35</v>
      </c>
      <c r="S14" s="221">
        <v>35</v>
      </c>
      <c r="T14" s="221">
        <v>35</v>
      </c>
      <c r="U14" s="221">
        <v>35</v>
      </c>
      <c r="V14" s="221">
        <v>26</v>
      </c>
      <c r="W14" s="221">
        <v>26</v>
      </c>
      <c r="X14" s="221">
        <v>26</v>
      </c>
      <c r="Y14" s="221">
        <v>26</v>
      </c>
      <c r="Z14" s="221">
        <v>26</v>
      </c>
      <c r="AA14" s="221">
        <v>26</v>
      </c>
      <c r="AB14" s="221">
        <v>35</v>
      </c>
      <c r="AC14" s="221">
        <v>35</v>
      </c>
      <c r="AD14" s="221">
        <v>36</v>
      </c>
      <c r="AE14" s="221">
        <v>36</v>
      </c>
      <c r="AF14" s="221">
        <v>36</v>
      </c>
      <c r="AG14" s="229">
        <v>42</v>
      </c>
      <c r="AH14" s="226">
        <f t="shared" si="2"/>
        <v>36</v>
      </c>
      <c r="AI14" s="227">
        <f t="shared" si="3"/>
        <v>26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10</v>
      </c>
      <c r="C15" s="221">
        <v>10</v>
      </c>
      <c r="D15" s="221">
        <v>10</v>
      </c>
      <c r="E15" s="221">
        <v>5</v>
      </c>
      <c r="F15" s="221">
        <v>5</v>
      </c>
      <c r="G15" s="221">
        <v>5</v>
      </c>
      <c r="H15" s="221">
        <v>5</v>
      </c>
      <c r="I15" s="221">
        <v>5</v>
      </c>
      <c r="J15" s="221">
        <v>5</v>
      </c>
      <c r="K15" s="221">
        <v>10</v>
      </c>
      <c r="L15" s="221">
        <v>30</v>
      </c>
      <c r="M15" s="221">
        <v>20</v>
      </c>
      <c r="N15" s="221">
        <v>20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10</v>
      </c>
      <c r="Y15" s="221">
        <v>10</v>
      </c>
      <c r="Z15" s="221">
        <v>10.7</v>
      </c>
      <c r="AA15" s="221">
        <v>10.7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5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26.2</v>
      </c>
      <c r="C16" s="221">
        <v>25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25.6</v>
      </c>
      <c r="N16" s="221">
        <v>25.6</v>
      </c>
      <c r="O16" s="221">
        <v>25.4</v>
      </c>
      <c r="P16" s="221">
        <v>25.3</v>
      </c>
      <c r="Q16" s="221">
        <v>25.4</v>
      </c>
      <c r="R16" s="221">
        <v>25.4</v>
      </c>
      <c r="S16" s="221">
        <v>25.4</v>
      </c>
      <c r="T16" s="221">
        <v>25.4</v>
      </c>
      <c r="U16" s="221">
        <v>25.4</v>
      </c>
      <c r="V16" s="221">
        <v>25.4</v>
      </c>
      <c r="W16" s="221">
        <v>25.4</v>
      </c>
      <c r="X16" s="221">
        <v>25.4</v>
      </c>
      <c r="Y16" s="221">
        <v>25.4</v>
      </c>
      <c r="Z16" s="221">
        <v>25.4</v>
      </c>
      <c r="AA16" s="221">
        <v>25.4</v>
      </c>
      <c r="AB16" s="221">
        <v>25.4</v>
      </c>
      <c r="AC16" s="221">
        <v>25.4</v>
      </c>
      <c r="AD16" s="221">
        <v>25.4</v>
      </c>
      <c r="AE16" s="221">
        <v>25.4</v>
      </c>
      <c r="AF16" s="221">
        <v>25.4</v>
      </c>
      <c r="AG16" s="229">
        <v>25</v>
      </c>
      <c r="AH16" s="226">
        <f t="shared" si="2"/>
        <v>26.2</v>
      </c>
      <c r="AI16" s="227">
        <f t="shared" si="3"/>
        <v>25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22</v>
      </c>
      <c r="C17" s="221">
        <v>22</v>
      </c>
      <c r="D17" s="221">
        <v>22</v>
      </c>
      <c r="E17" s="221">
        <v>22</v>
      </c>
      <c r="F17" s="221">
        <v>22</v>
      </c>
      <c r="G17" s="221">
        <v>22</v>
      </c>
      <c r="H17" s="221">
        <v>22</v>
      </c>
      <c r="I17" s="221">
        <v>22</v>
      </c>
      <c r="J17" s="221">
        <v>22</v>
      </c>
      <c r="K17" s="221">
        <v>23</v>
      </c>
      <c r="L17" s="221">
        <v>23</v>
      </c>
      <c r="M17" s="221">
        <v>23</v>
      </c>
      <c r="N17" s="221">
        <v>23</v>
      </c>
      <c r="O17" s="221">
        <v>23</v>
      </c>
      <c r="P17" s="221">
        <v>23</v>
      </c>
      <c r="Q17" s="221">
        <v>23</v>
      </c>
      <c r="R17" s="221">
        <v>23</v>
      </c>
      <c r="S17" s="221">
        <v>23</v>
      </c>
      <c r="T17" s="221">
        <v>23</v>
      </c>
      <c r="U17" s="221">
        <v>23</v>
      </c>
      <c r="V17" s="221">
        <v>23</v>
      </c>
      <c r="W17" s="221">
        <v>23</v>
      </c>
      <c r="X17" s="221">
        <v>23</v>
      </c>
      <c r="Y17" s="221">
        <v>23</v>
      </c>
      <c r="Z17" s="221">
        <v>23</v>
      </c>
      <c r="AA17" s="221">
        <v>23</v>
      </c>
      <c r="AB17" s="221">
        <v>23</v>
      </c>
      <c r="AC17" s="221">
        <v>23</v>
      </c>
      <c r="AD17" s="221">
        <v>23</v>
      </c>
      <c r="AE17" s="221">
        <v>23</v>
      </c>
      <c r="AF17" s="221">
        <v>23</v>
      </c>
      <c r="AG17" s="229">
        <v>25</v>
      </c>
      <c r="AH17" s="226">
        <f t="shared" si="2"/>
        <v>23</v>
      </c>
      <c r="AI17" s="227">
        <f t="shared" si="3"/>
        <v>22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25.4</v>
      </c>
      <c r="C19" s="221">
        <v>25.4</v>
      </c>
      <c r="D19" s="221">
        <v>25.4</v>
      </c>
      <c r="E19" s="221">
        <v>25.4</v>
      </c>
      <c r="F19" s="221">
        <v>25.4</v>
      </c>
      <c r="G19" s="221">
        <v>25.4</v>
      </c>
      <c r="H19" s="221">
        <v>25.4</v>
      </c>
      <c r="I19" s="221">
        <v>25.4</v>
      </c>
      <c r="J19" s="221">
        <v>25.4</v>
      </c>
      <c r="K19" s="221">
        <v>25.4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33.299999999999997</v>
      </c>
      <c r="Q19" s="221">
        <v>33.200000000000003</v>
      </c>
      <c r="R19" s="221">
        <v>33.200000000000003</v>
      </c>
      <c r="S19" s="221">
        <v>33</v>
      </c>
      <c r="T19" s="221">
        <v>33</v>
      </c>
      <c r="U19" s="221">
        <v>33</v>
      </c>
      <c r="V19" s="221">
        <v>25</v>
      </c>
      <c r="W19" s="221">
        <v>25</v>
      </c>
      <c r="X19" s="221">
        <v>25</v>
      </c>
      <c r="Y19" s="221">
        <v>25</v>
      </c>
      <c r="Z19" s="221">
        <v>25</v>
      </c>
      <c r="AA19" s="221">
        <v>25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33.299999999999997</v>
      </c>
      <c r="AI19" s="227">
        <f t="shared" si="3"/>
        <v>25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23.6</v>
      </c>
      <c r="P20" s="221">
        <v>23.6</v>
      </c>
      <c r="Q20" s="221">
        <v>23.6</v>
      </c>
      <c r="R20" s="221">
        <v>23.6</v>
      </c>
      <c r="S20" s="221">
        <v>23</v>
      </c>
      <c r="T20" s="221">
        <v>23</v>
      </c>
      <c r="U20" s="221">
        <v>23</v>
      </c>
      <c r="V20" s="221">
        <v>23</v>
      </c>
      <c r="W20" s="221">
        <v>23</v>
      </c>
      <c r="X20" s="221">
        <v>23</v>
      </c>
      <c r="Y20" s="221">
        <v>23</v>
      </c>
      <c r="Z20" s="221">
        <v>23</v>
      </c>
      <c r="AA20" s="221">
        <v>23</v>
      </c>
      <c r="AB20" s="221">
        <v>23</v>
      </c>
      <c r="AC20" s="221">
        <v>23</v>
      </c>
      <c r="AD20" s="221">
        <v>23</v>
      </c>
      <c r="AE20" s="221">
        <v>23</v>
      </c>
      <c r="AF20" s="221">
        <v>23</v>
      </c>
      <c r="AG20" s="229">
        <v>23.5</v>
      </c>
      <c r="AH20" s="226">
        <f t="shared" si="2"/>
        <v>23.6</v>
      </c>
      <c r="AI20" s="227">
        <f t="shared" si="3"/>
        <v>23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22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20</v>
      </c>
      <c r="F23" s="221">
        <v>20</v>
      </c>
      <c r="G23" s="221">
        <v>20</v>
      </c>
      <c r="H23" s="221">
        <v>20</v>
      </c>
      <c r="I23" s="221">
        <v>20</v>
      </c>
      <c r="J23" s="221">
        <v>20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18</v>
      </c>
      <c r="K24" s="221">
        <v>18</v>
      </c>
      <c r="L24" s="221">
        <v>22</v>
      </c>
      <c r="M24" s="221">
        <v>22</v>
      </c>
      <c r="N24" s="221">
        <v>22</v>
      </c>
      <c r="O24" s="221">
        <v>0</v>
      </c>
      <c r="P24" s="221">
        <v>0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5</v>
      </c>
      <c r="D25" s="221">
        <v>5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10</v>
      </c>
      <c r="L25" s="221">
        <v>10</v>
      </c>
      <c r="M25" s="221">
        <v>10</v>
      </c>
      <c r="N25" s="221">
        <v>15</v>
      </c>
      <c r="O25" s="221">
        <v>15</v>
      </c>
      <c r="P25" s="221">
        <v>15</v>
      </c>
      <c r="Q25" s="221">
        <v>10</v>
      </c>
      <c r="R25" s="221">
        <v>10</v>
      </c>
      <c r="S25" s="221">
        <v>10</v>
      </c>
      <c r="T25" s="221">
        <v>15</v>
      </c>
      <c r="U25" s="221">
        <v>20</v>
      </c>
      <c r="V25" s="221">
        <v>20</v>
      </c>
      <c r="W25" s="221">
        <v>10</v>
      </c>
      <c r="X25" s="221">
        <v>10</v>
      </c>
      <c r="Y25" s="221">
        <v>10</v>
      </c>
      <c r="Z25" s="221">
        <v>20</v>
      </c>
      <c r="AA25" s="221">
        <v>20</v>
      </c>
      <c r="AB25" s="221">
        <v>20</v>
      </c>
      <c r="AC25" s="221">
        <v>20</v>
      </c>
      <c r="AD25" s="221">
        <v>12</v>
      </c>
      <c r="AE25" s="221">
        <v>10</v>
      </c>
      <c r="AF25" s="221">
        <v>7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12</v>
      </c>
      <c r="AB27" s="221">
        <v>12</v>
      </c>
      <c r="AC27" s="221">
        <v>12</v>
      </c>
      <c r="AD27" s="221">
        <v>12</v>
      </c>
      <c r="AE27" s="221">
        <v>12</v>
      </c>
      <c r="AF27" s="221">
        <v>12</v>
      </c>
      <c r="AG27" s="229">
        <v>13.6</v>
      </c>
      <c r="AH27" s="226">
        <f t="shared" si="2"/>
        <v>12</v>
      </c>
      <c r="AI27" s="227">
        <f t="shared" si="3"/>
        <v>12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0</v>
      </c>
      <c r="C29" s="221">
        <v>0</v>
      </c>
      <c r="D29" s="221">
        <v>0</v>
      </c>
      <c r="E29" s="221">
        <v>0</v>
      </c>
      <c r="F29" s="221">
        <v>0</v>
      </c>
      <c r="G29" s="221">
        <v>0</v>
      </c>
      <c r="H29" s="221">
        <v>0</v>
      </c>
      <c r="I29" s="221">
        <v>0</v>
      </c>
      <c r="J29" s="221">
        <v>0</v>
      </c>
      <c r="K29" s="221">
        <v>0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  <c r="Q29" s="221">
        <v>0</v>
      </c>
      <c r="R29" s="221">
        <v>0</v>
      </c>
      <c r="S29" s="221">
        <v>8</v>
      </c>
      <c r="T29" s="221">
        <v>8</v>
      </c>
      <c r="U29" s="221">
        <v>4</v>
      </c>
      <c r="V29" s="221">
        <v>4</v>
      </c>
      <c r="W29" s="221">
        <v>4</v>
      </c>
      <c r="X29" s="221">
        <v>8</v>
      </c>
      <c r="Y29" s="221">
        <v>8</v>
      </c>
      <c r="Z29" s="221">
        <v>8</v>
      </c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8</v>
      </c>
      <c r="AG29" s="229">
        <v>12</v>
      </c>
      <c r="AH29" s="226">
        <f t="shared" si="2"/>
        <v>8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12</v>
      </c>
      <c r="C31" s="221">
        <v>12</v>
      </c>
      <c r="D31" s="221">
        <v>12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12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11</v>
      </c>
      <c r="L33" s="221">
        <v>11</v>
      </c>
      <c r="M33" s="221">
        <v>11</v>
      </c>
      <c r="N33" s="221">
        <v>11</v>
      </c>
      <c r="O33" s="221">
        <v>11</v>
      </c>
      <c r="P33" s="221">
        <v>11</v>
      </c>
      <c r="Q33" s="221">
        <v>11</v>
      </c>
      <c r="R33" s="221">
        <v>11</v>
      </c>
      <c r="S33" s="221">
        <v>11</v>
      </c>
      <c r="T33" s="221">
        <v>11</v>
      </c>
      <c r="U33" s="221">
        <v>11</v>
      </c>
      <c r="V33" s="221">
        <v>11</v>
      </c>
      <c r="W33" s="221">
        <v>11</v>
      </c>
      <c r="X33" s="221">
        <v>11</v>
      </c>
      <c r="Y33" s="221">
        <v>11</v>
      </c>
      <c r="Z33" s="221">
        <v>11</v>
      </c>
      <c r="AA33" s="221">
        <v>11</v>
      </c>
      <c r="AB33" s="221">
        <v>11</v>
      </c>
      <c r="AC33" s="221">
        <v>11</v>
      </c>
      <c r="AD33" s="221">
        <v>11</v>
      </c>
      <c r="AE33" s="221">
        <v>11</v>
      </c>
      <c r="AF33" s="221">
        <v>11</v>
      </c>
      <c r="AG33" s="235">
        <v>11</v>
      </c>
      <c r="AH33" s="226">
        <f t="shared" si="2"/>
        <v>11</v>
      </c>
      <c r="AI33" s="227">
        <f t="shared" si="3"/>
        <v>11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9.4</v>
      </c>
      <c r="C34" s="221">
        <v>9.4</v>
      </c>
      <c r="D34" s="221">
        <v>9.4</v>
      </c>
      <c r="E34" s="221">
        <v>9.4</v>
      </c>
      <c r="F34" s="221">
        <v>9.4</v>
      </c>
      <c r="G34" s="221">
        <v>9.4</v>
      </c>
      <c r="H34" s="221">
        <v>9.4</v>
      </c>
      <c r="I34" s="221">
        <v>9.4</v>
      </c>
      <c r="J34" s="221">
        <v>9.4</v>
      </c>
      <c r="K34" s="221">
        <v>9.4</v>
      </c>
      <c r="L34" s="221">
        <v>9.4</v>
      </c>
      <c r="M34" s="221">
        <v>9.4</v>
      </c>
      <c r="N34" s="221">
        <v>9.4</v>
      </c>
      <c r="O34" s="221">
        <v>9.4</v>
      </c>
      <c r="P34" s="221">
        <v>9.4</v>
      </c>
      <c r="Q34" s="221">
        <v>9.4</v>
      </c>
      <c r="R34" s="221">
        <v>9.4</v>
      </c>
      <c r="S34" s="221">
        <v>9.4</v>
      </c>
      <c r="T34" s="221">
        <v>9.4</v>
      </c>
      <c r="U34" s="221">
        <v>9.4</v>
      </c>
      <c r="V34" s="221">
        <v>9.4</v>
      </c>
      <c r="W34" s="221">
        <v>9.4</v>
      </c>
      <c r="X34" s="221">
        <v>9.4</v>
      </c>
      <c r="Y34" s="221">
        <v>9.4</v>
      </c>
      <c r="Z34" s="221">
        <v>9.4</v>
      </c>
      <c r="AA34" s="221">
        <v>9.4</v>
      </c>
      <c r="AB34" s="221">
        <v>9.4</v>
      </c>
      <c r="AC34" s="221">
        <v>9.4</v>
      </c>
      <c r="AD34" s="221">
        <v>9.4</v>
      </c>
      <c r="AE34" s="221">
        <v>9.4</v>
      </c>
      <c r="AF34" s="221">
        <v>9.4</v>
      </c>
      <c r="AG34" s="235">
        <v>10</v>
      </c>
      <c r="AH34" s="226">
        <f t="shared" si="2"/>
        <v>9.4</v>
      </c>
      <c r="AI34" s="227">
        <f t="shared" si="3"/>
        <v>9.4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2</v>
      </c>
      <c r="M35" s="221">
        <v>3</v>
      </c>
      <c r="N35" s="221">
        <v>3</v>
      </c>
      <c r="O35" s="221">
        <v>3</v>
      </c>
      <c r="P35" s="221">
        <v>3</v>
      </c>
      <c r="Q35" s="221">
        <v>3</v>
      </c>
      <c r="R35" s="221">
        <v>3</v>
      </c>
      <c r="S35" s="221">
        <v>3</v>
      </c>
      <c r="T35" s="221">
        <v>3</v>
      </c>
      <c r="U35" s="221">
        <v>3</v>
      </c>
      <c r="V35" s="221">
        <v>3</v>
      </c>
      <c r="W35" s="221">
        <v>3</v>
      </c>
      <c r="X35" s="221">
        <v>3</v>
      </c>
      <c r="Y35" s="221">
        <v>3</v>
      </c>
      <c r="Z35" s="221">
        <v>3</v>
      </c>
      <c r="AA35" s="221">
        <v>3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3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301</v>
      </c>
      <c r="C36" s="237">
        <v>301</v>
      </c>
      <c r="D36" s="237">
        <v>301</v>
      </c>
      <c r="E36" s="237">
        <v>301</v>
      </c>
      <c r="F36" s="237">
        <v>301</v>
      </c>
      <c r="G36" s="237">
        <v>301</v>
      </c>
      <c r="H36" s="237">
        <v>301</v>
      </c>
      <c r="I36" s="237">
        <v>301</v>
      </c>
      <c r="J36" s="237">
        <v>301</v>
      </c>
      <c r="K36" s="237">
        <v>301</v>
      </c>
      <c r="L36" s="237">
        <v>301</v>
      </c>
      <c r="M36" s="237">
        <v>301</v>
      </c>
      <c r="N36" s="237">
        <v>301</v>
      </c>
      <c r="O36" s="237">
        <v>301</v>
      </c>
      <c r="P36" s="237">
        <v>301</v>
      </c>
      <c r="Q36" s="237">
        <v>301</v>
      </c>
      <c r="R36" s="237">
        <v>301</v>
      </c>
      <c r="S36" s="237">
        <v>301</v>
      </c>
      <c r="T36" s="237">
        <v>301</v>
      </c>
      <c r="U36" s="237">
        <v>301</v>
      </c>
      <c r="V36" s="237">
        <v>301</v>
      </c>
      <c r="W36" s="237">
        <v>301</v>
      </c>
      <c r="X36" s="237">
        <v>301</v>
      </c>
      <c r="Y36" s="237">
        <v>301</v>
      </c>
      <c r="Z36" s="237">
        <v>301</v>
      </c>
      <c r="AA36" s="237">
        <v>301</v>
      </c>
      <c r="AB36" s="237">
        <v>301</v>
      </c>
      <c r="AC36" s="237">
        <v>301</v>
      </c>
      <c r="AD36" s="237">
        <v>301</v>
      </c>
      <c r="AE36" s="237">
        <v>301</v>
      </c>
      <c r="AF36" s="237">
        <v>301</v>
      </c>
      <c r="AG36" s="235">
        <v>85</v>
      </c>
      <c r="AH36" s="226">
        <f t="shared" si="2"/>
        <v>301</v>
      </c>
      <c r="AI36" s="227">
        <f t="shared" si="3"/>
        <v>301</v>
      </c>
      <c r="AK36" s="228"/>
    </row>
    <row r="37" spans="1:88" ht="15.75" thickBot="1" x14ac:dyDescent="0.3">
      <c r="A37" s="238" t="s">
        <v>45</v>
      </c>
      <c r="B37" s="239">
        <f>77.6+101.2</f>
        <v>178.8</v>
      </c>
      <c r="C37" s="239">
        <f>77.5+102.9</f>
        <v>180.4</v>
      </c>
      <c r="D37" s="239">
        <f>77.8+103</f>
        <v>180.8</v>
      </c>
      <c r="E37" s="237">
        <f>75.4+95.6</f>
        <v>171</v>
      </c>
      <c r="F37" s="237">
        <f>78.6+95.8</f>
        <v>174.39999999999998</v>
      </c>
      <c r="G37" s="237">
        <f>78.4+95.5</f>
        <v>173.9</v>
      </c>
      <c r="H37" s="237">
        <v>174</v>
      </c>
      <c r="I37" s="237">
        <v>174</v>
      </c>
      <c r="J37" s="237">
        <f>81.3+94</f>
        <v>175.3</v>
      </c>
      <c r="K37" s="237">
        <f>80.7+95.8</f>
        <v>176.5</v>
      </c>
      <c r="L37" s="237">
        <f>80.5+95.1</f>
        <v>175.6</v>
      </c>
      <c r="M37" s="237">
        <f>181.7</f>
        <v>181.7</v>
      </c>
      <c r="N37" s="237">
        <f>181.3</f>
        <v>181.3</v>
      </c>
      <c r="O37" s="237">
        <f>180.9</f>
        <v>180.9</v>
      </c>
      <c r="P37" s="237">
        <f>180.5</f>
        <v>180.5</v>
      </c>
      <c r="Q37" s="237">
        <f>93+82</f>
        <v>175</v>
      </c>
      <c r="R37" s="237">
        <f>93+82</f>
        <v>175</v>
      </c>
      <c r="S37" s="237">
        <f>93+82</f>
        <v>175</v>
      </c>
      <c r="T37" s="237">
        <f t="shared" ref="T37:AA37" si="4">93+82</f>
        <v>175</v>
      </c>
      <c r="U37" s="237">
        <f t="shared" si="4"/>
        <v>175</v>
      </c>
      <c r="V37" s="237">
        <f t="shared" si="4"/>
        <v>175</v>
      </c>
      <c r="W37" s="237">
        <f t="shared" si="4"/>
        <v>175</v>
      </c>
      <c r="X37" s="237">
        <f t="shared" si="4"/>
        <v>175</v>
      </c>
      <c r="Y37" s="237">
        <f t="shared" si="4"/>
        <v>175</v>
      </c>
      <c r="Z37" s="237">
        <f t="shared" si="4"/>
        <v>175</v>
      </c>
      <c r="AA37" s="237">
        <f t="shared" si="4"/>
        <v>175</v>
      </c>
      <c r="AB37" s="237">
        <f>81.1+92.9</f>
        <v>174</v>
      </c>
      <c r="AC37" s="237">
        <f>81.1+92.9</f>
        <v>174</v>
      </c>
      <c r="AD37" s="237">
        <f>81.1+92.9</f>
        <v>174</v>
      </c>
      <c r="AE37" s="237">
        <f>80.4+96.3</f>
        <v>176.7</v>
      </c>
      <c r="AF37" s="239">
        <f>96.8+81.8</f>
        <v>178.6</v>
      </c>
      <c r="AG37" s="235">
        <v>240</v>
      </c>
      <c r="AH37" s="226">
        <f t="shared" si="2"/>
        <v>181.7</v>
      </c>
      <c r="AI37" s="227">
        <f t="shared" si="3"/>
        <v>171</v>
      </c>
      <c r="AK37" s="228"/>
    </row>
    <row r="38" spans="1:88" ht="15.75" thickBot="1" x14ac:dyDescent="0.3">
      <c r="A38" s="240" t="s">
        <v>46</v>
      </c>
      <c r="B38" s="241">
        <f>SUM(B11:B36)</f>
        <v>788.54</v>
      </c>
      <c r="C38" s="241">
        <f t="shared" ref="C38:AG38" si="5">SUM(C11:C36)</f>
        <v>783.5</v>
      </c>
      <c r="D38" s="241">
        <f t="shared" si="5"/>
        <v>784.3</v>
      </c>
      <c r="E38" s="241">
        <f t="shared" si="5"/>
        <v>770.3</v>
      </c>
      <c r="F38" s="241">
        <f t="shared" si="5"/>
        <v>770.3</v>
      </c>
      <c r="G38" s="241">
        <f t="shared" si="5"/>
        <v>770.3</v>
      </c>
      <c r="H38" s="241">
        <f t="shared" si="5"/>
        <v>770.3</v>
      </c>
      <c r="I38" s="241">
        <f t="shared" si="5"/>
        <v>770.3</v>
      </c>
      <c r="J38" s="241">
        <f t="shared" si="5"/>
        <v>766.3</v>
      </c>
      <c r="K38" s="241">
        <f t="shared" si="5"/>
        <v>784.3</v>
      </c>
      <c r="L38" s="241">
        <f t="shared" si="5"/>
        <v>822.09999999999991</v>
      </c>
      <c r="M38" s="241">
        <f t="shared" si="5"/>
        <v>811.09999999999991</v>
      </c>
      <c r="N38" s="241">
        <f t="shared" si="5"/>
        <v>816.09999999999991</v>
      </c>
      <c r="O38" s="241">
        <f t="shared" si="5"/>
        <v>803.8</v>
      </c>
      <c r="P38" s="241">
        <f t="shared" si="5"/>
        <v>809.2</v>
      </c>
      <c r="Q38" s="241">
        <f t="shared" si="5"/>
        <v>826.19999999999993</v>
      </c>
      <c r="R38" s="241">
        <f t="shared" si="5"/>
        <v>826.19999999999993</v>
      </c>
      <c r="S38" s="241">
        <f t="shared" si="5"/>
        <v>833.4</v>
      </c>
      <c r="T38" s="241">
        <f t="shared" si="5"/>
        <v>838.4</v>
      </c>
      <c r="U38" s="241">
        <f>SUM(U11:U36)</f>
        <v>839.4</v>
      </c>
      <c r="V38" s="241">
        <f>SUM(V11:V36)</f>
        <v>822.4</v>
      </c>
      <c r="W38" s="241">
        <f t="shared" si="5"/>
        <v>812.4</v>
      </c>
      <c r="X38" s="241">
        <f t="shared" si="5"/>
        <v>796.4</v>
      </c>
      <c r="Y38" s="241">
        <f t="shared" si="5"/>
        <v>796.4</v>
      </c>
      <c r="Z38" s="241">
        <f t="shared" si="5"/>
        <v>807.09999999999991</v>
      </c>
      <c r="AA38" s="241">
        <f t="shared" si="5"/>
        <v>807.09999999999991</v>
      </c>
      <c r="AB38" s="241">
        <f t="shared" si="5"/>
        <v>840.59999999999991</v>
      </c>
      <c r="AC38" s="241">
        <f t="shared" si="5"/>
        <v>840.59999999999991</v>
      </c>
      <c r="AD38" s="241">
        <f t="shared" si="5"/>
        <v>833.59999999999991</v>
      </c>
      <c r="AE38" s="241">
        <f t="shared" si="5"/>
        <v>831.6</v>
      </c>
      <c r="AF38" s="241">
        <f t="shared" si="5"/>
        <v>828.6</v>
      </c>
      <c r="AG38" s="242">
        <f t="shared" si="5"/>
        <v>665.78</v>
      </c>
      <c r="AH38" s="226">
        <f t="shared" si="2"/>
        <v>840.59999999999991</v>
      </c>
      <c r="AI38" s="227">
        <f t="shared" si="3"/>
        <v>766.3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6">SUM(C39:C41)</f>
        <v>538</v>
      </c>
      <c r="D42" s="241">
        <f t="shared" si="6"/>
        <v>538</v>
      </c>
      <c r="E42" s="241">
        <f t="shared" si="6"/>
        <v>538</v>
      </c>
      <c r="F42" s="241">
        <f t="shared" si="6"/>
        <v>538</v>
      </c>
      <c r="G42" s="241">
        <f t="shared" si="6"/>
        <v>538</v>
      </c>
      <c r="H42" s="241">
        <f t="shared" si="6"/>
        <v>538</v>
      </c>
      <c r="I42" s="241">
        <f t="shared" si="6"/>
        <v>538</v>
      </c>
      <c r="J42" s="241">
        <f t="shared" si="6"/>
        <v>538</v>
      </c>
      <c r="K42" s="241">
        <f t="shared" si="6"/>
        <v>538</v>
      </c>
      <c r="L42" s="241">
        <f t="shared" si="6"/>
        <v>538</v>
      </c>
      <c r="M42" s="241">
        <f t="shared" si="6"/>
        <v>538</v>
      </c>
      <c r="N42" s="241">
        <f t="shared" si="6"/>
        <v>538</v>
      </c>
      <c r="O42" s="241">
        <f t="shared" si="6"/>
        <v>538</v>
      </c>
      <c r="P42" s="241">
        <f t="shared" si="6"/>
        <v>538</v>
      </c>
      <c r="Q42" s="241">
        <f t="shared" si="6"/>
        <v>538</v>
      </c>
      <c r="R42" s="241">
        <f t="shared" si="6"/>
        <v>538</v>
      </c>
      <c r="S42" s="241">
        <f t="shared" si="6"/>
        <v>538</v>
      </c>
      <c r="T42" s="241">
        <f t="shared" si="6"/>
        <v>538</v>
      </c>
      <c r="U42" s="241">
        <f t="shared" si="6"/>
        <v>538</v>
      </c>
      <c r="V42" s="241">
        <f>SUM(V39:V41)</f>
        <v>538</v>
      </c>
      <c r="W42" s="241">
        <f t="shared" si="6"/>
        <v>538</v>
      </c>
      <c r="X42" s="241">
        <f t="shared" si="6"/>
        <v>538</v>
      </c>
      <c r="Y42" s="241">
        <f t="shared" si="6"/>
        <v>538</v>
      </c>
      <c r="Z42" s="241">
        <f t="shared" si="6"/>
        <v>538</v>
      </c>
      <c r="AA42" s="241">
        <f t="shared" si="6"/>
        <v>538</v>
      </c>
      <c r="AB42" s="241">
        <f t="shared" si="6"/>
        <v>538</v>
      </c>
      <c r="AC42" s="241">
        <f t="shared" si="6"/>
        <v>538</v>
      </c>
      <c r="AD42" s="241">
        <f t="shared" si="6"/>
        <v>538</v>
      </c>
      <c r="AE42" s="241">
        <f t="shared" si="6"/>
        <v>538</v>
      </c>
      <c r="AF42" s="241">
        <f t="shared" si="6"/>
        <v>538</v>
      </c>
      <c r="AG42" s="242">
        <f t="shared" si="6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136.30000000000001</v>
      </c>
      <c r="C43" s="221">
        <v>136.6</v>
      </c>
      <c r="D43" s="221">
        <v>136.6</v>
      </c>
      <c r="E43" s="221">
        <v>136.6</v>
      </c>
      <c r="F43" s="221">
        <v>130</v>
      </c>
      <c r="G43" s="221">
        <v>138</v>
      </c>
      <c r="H43" s="221">
        <v>138</v>
      </c>
      <c r="I43" s="221">
        <v>138</v>
      </c>
      <c r="J43" s="221">
        <v>135</v>
      </c>
      <c r="K43" s="221">
        <v>139</v>
      </c>
      <c r="L43" s="221">
        <v>140</v>
      </c>
      <c r="M43" s="221">
        <v>140.30000000000001</v>
      </c>
      <c r="N43" s="221">
        <v>140.30000000000001</v>
      </c>
      <c r="O43" s="221">
        <v>140.69999999999999</v>
      </c>
      <c r="P43" s="221">
        <v>140</v>
      </c>
      <c r="Q43" s="221">
        <v>140</v>
      </c>
      <c r="R43" s="221">
        <v>140</v>
      </c>
      <c r="S43" s="221">
        <v>140</v>
      </c>
      <c r="T43" s="221">
        <v>140</v>
      </c>
      <c r="U43" s="221">
        <v>140</v>
      </c>
      <c r="V43" s="221">
        <v>140</v>
      </c>
      <c r="W43" s="221">
        <v>140</v>
      </c>
      <c r="X43" s="221">
        <v>140</v>
      </c>
      <c r="Y43" s="221">
        <v>140</v>
      </c>
      <c r="Z43" s="221">
        <v>140</v>
      </c>
      <c r="AA43" s="221">
        <v>140</v>
      </c>
      <c r="AB43" s="221">
        <v>142</v>
      </c>
      <c r="AC43" s="221">
        <v>142</v>
      </c>
      <c r="AD43" s="221">
        <v>142</v>
      </c>
      <c r="AE43" s="221">
        <v>142</v>
      </c>
      <c r="AF43" s="221">
        <v>96.9</v>
      </c>
      <c r="AG43" s="230">
        <v>144</v>
      </c>
      <c r="AH43" s="226">
        <f t="shared" si="2"/>
        <v>142</v>
      </c>
      <c r="AI43" s="227">
        <f t="shared" si="3"/>
        <v>96.9</v>
      </c>
      <c r="AK43" s="228"/>
    </row>
    <row r="44" spans="1:88" x14ac:dyDescent="0.25">
      <c r="A44" s="234" t="s">
        <v>52</v>
      </c>
      <c r="B44" s="245">
        <v>72.3</v>
      </c>
      <c r="C44" s="245">
        <v>72.2</v>
      </c>
      <c r="D44" s="245">
        <v>72.5</v>
      </c>
      <c r="E44" s="245">
        <v>72.5</v>
      </c>
      <c r="F44" s="245">
        <v>72.5</v>
      </c>
      <c r="G44" s="245">
        <v>72.5</v>
      </c>
      <c r="H44" s="245">
        <v>72.5</v>
      </c>
      <c r="I44" s="245">
        <v>72.5</v>
      </c>
      <c r="J44" s="245">
        <v>72.5</v>
      </c>
      <c r="K44" s="245">
        <v>70.400000000000006</v>
      </c>
      <c r="L44" s="245">
        <v>72</v>
      </c>
      <c r="M44" s="221">
        <v>71</v>
      </c>
      <c r="N44" s="221">
        <v>71</v>
      </c>
      <c r="O44" s="221">
        <v>70.099999999999994</v>
      </c>
      <c r="P44" s="221">
        <v>71</v>
      </c>
      <c r="Q44" s="221">
        <v>71</v>
      </c>
      <c r="R44" s="221">
        <v>71</v>
      </c>
      <c r="S44" s="221">
        <v>71</v>
      </c>
      <c r="T44" s="221">
        <v>71</v>
      </c>
      <c r="U44" s="221">
        <v>71</v>
      </c>
      <c r="V44" s="221">
        <v>71</v>
      </c>
      <c r="W44" s="221">
        <v>71</v>
      </c>
      <c r="X44" s="221">
        <v>71</v>
      </c>
      <c r="Y44" s="221">
        <v>71</v>
      </c>
      <c r="Z44" s="221">
        <v>71</v>
      </c>
      <c r="AA44" s="221">
        <v>71</v>
      </c>
      <c r="AB44" s="221">
        <v>70</v>
      </c>
      <c r="AC44" s="221">
        <v>70</v>
      </c>
      <c r="AD44" s="221">
        <v>70</v>
      </c>
      <c r="AE44" s="221">
        <v>70</v>
      </c>
      <c r="AF44" s="221">
        <v>70</v>
      </c>
      <c r="AG44" s="235">
        <v>70</v>
      </c>
      <c r="AH44" s="226">
        <f t="shared" si="2"/>
        <v>72.5</v>
      </c>
      <c r="AI44" s="227">
        <f t="shared" si="3"/>
        <v>70</v>
      </c>
      <c r="AK44" s="228"/>
    </row>
    <row r="45" spans="1:88" x14ac:dyDescent="0.25">
      <c r="A45" s="234" t="s">
        <v>53</v>
      </c>
      <c r="B45" s="245">
        <v>63</v>
      </c>
      <c r="C45" s="245">
        <v>62.6</v>
      </c>
      <c r="D45" s="245">
        <v>62.6</v>
      </c>
      <c r="E45" s="245">
        <v>62.6</v>
      </c>
      <c r="F45" s="245">
        <v>62.6</v>
      </c>
      <c r="G45" s="245">
        <v>0</v>
      </c>
      <c r="H45" s="245">
        <v>0</v>
      </c>
      <c r="I45" s="245">
        <v>0</v>
      </c>
      <c r="J45" s="245">
        <v>0</v>
      </c>
      <c r="K45" s="245">
        <v>0</v>
      </c>
      <c r="L45" s="245">
        <v>0</v>
      </c>
      <c r="M45" s="221">
        <v>0</v>
      </c>
      <c r="N45" s="221">
        <v>0</v>
      </c>
      <c r="O45" s="221">
        <v>64.5</v>
      </c>
      <c r="P45" s="221">
        <v>63.8</v>
      </c>
      <c r="Q45" s="221">
        <v>63.3</v>
      </c>
      <c r="R45" s="221">
        <v>63.3</v>
      </c>
      <c r="S45" s="221">
        <v>63.3</v>
      </c>
      <c r="T45" s="221">
        <v>63.3</v>
      </c>
      <c r="U45" s="221">
        <v>63.3</v>
      </c>
      <c r="V45" s="221">
        <v>63.3</v>
      </c>
      <c r="W45" s="221">
        <v>63.3</v>
      </c>
      <c r="X45" s="221">
        <v>63.3</v>
      </c>
      <c r="Y45" s="221">
        <v>63.3</v>
      </c>
      <c r="Z45" s="221">
        <v>63.3</v>
      </c>
      <c r="AA45" s="221">
        <v>63.3</v>
      </c>
      <c r="AB45" s="221">
        <v>63.3</v>
      </c>
      <c r="AC45" s="221">
        <v>63.3</v>
      </c>
      <c r="AD45" s="221">
        <v>63.3</v>
      </c>
      <c r="AE45" s="221">
        <v>63.3</v>
      </c>
      <c r="AF45" s="221">
        <v>63.3</v>
      </c>
      <c r="AG45" s="235">
        <v>69</v>
      </c>
      <c r="AH45" s="226">
        <f t="shared" si="2"/>
        <v>64.5</v>
      </c>
      <c r="AI45" s="227">
        <f t="shared" si="3"/>
        <v>0</v>
      </c>
      <c r="AK45" s="228"/>
    </row>
    <row r="46" spans="1:88" x14ac:dyDescent="0.25">
      <c r="A46" s="234" t="s">
        <v>54</v>
      </c>
      <c r="B46" s="237">
        <v>60.6</v>
      </c>
      <c r="C46" s="237">
        <v>60.7</v>
      </c>
      <c r="D46" s="237">
        <v>60.7</v>
      </c>
      <c r="E46" s="237">
        <v>50.6</v>
      </c>
      <c r="F46" s="237">
        <v>50.6</v>
      </c>
      <c r="G46" s="237">
        <v>61.2</v>
      </c>
      <c r="H46" s="237">
        <v>61.2</v>
      </c>
      <c r="I46" s="237">
        <v>61.2</v>
      </c>
      <c r="J46" s="237">
        <v>61.2</v>
      </c>
      <c r="K46" s="237">
        <v>61.2</v>
      </c>
      <c r="L46" s="237">
        <v>60.9</v>
      </c>
      <c r="M46" s="221">
        <v>60.4</v>
      </c>
      <c r="N46" s="221">
        <v>60.4</v>
      </c>
      <c r="O46" s="221">
        <v>60.7</v>
      </c>
      <c r="P46" s="221">
        <v>60.7</v>
      </c>
      <c r="Q46" s="221">
        <v>60.7</v>
      </c>
      <c r="R46" s="221">
        <v>60.7</v>
      </c>
      <c r="S46" s="221">
        <v>60.7</v>
      </c>
      <c r="T46" s="221">
        <v>60.7</v>
      </c>
      <c r="U46" s="221">
        <v>60.7</v>
      </c>
      <c r="V46" s="221">
        <v>60.7</v>
      </c>
      <c r="W46" s="221">
        <v>60.7</v>
      </c>
      <c r="X46" s="221">
        <v>60.7</v>
      </c>
      <c r="Y46" s="221">
        <v>60.7</v>
      </c>
      <c r="Z46" s="221">
        <v>60.7</v>
      </c>
      <c r="AA46" s="221">
        <v>60.7</v>
      </c>
      <c r="AB46" s="221">
        <v>60</v>
      </c>
      <c r="AC46" s="221">
        <v>60</v>
      </c>
      <c r="AD46" s="221">
        <v>60</v>
      </c>
      <c r="AE46" s="221">
        <v>60</v>
      </c>
      <c r="AF46" s="221">
        <v>60</v>
      </c>
      <c r="AG46" s="235">
        <v>60</v>
      </c>
      <c r="AH46" s="226">
        <f t="shared" si="2"/>
        <v>61.2</v>
      </c>
      <c r="AI46" s="227">
        <f t="shared" si="3"/>
        <v>50.6</v>
      </c>
      <c r="AK46" s="228"/>
    </row>
    <row r="47" spans="1:88" x14ac:dyDescent="0.25">
      <c r="A47" s="234" t="s">
        <v>55</v>
      </c>
      <c r="B47" s="237">
        <v>28.1</v>
      </c>
      <c r="C47" s="237">
        <v>28.2</v>
      </c>
      <c r="D47" s="237">
        <v>28.2</v>
      </c>
      <c r="E47" s="237">
        <v>15</v>
      </c>
      <c r="F47" s="237">
        <v>28</v>
      </c>
      <c r="G47" s="237">
        <v>28</v>
      </c>
      <c r="H47" s="237">
        <v>28</v>
      </c>
      <c r="I47" s="237">
        <v>28</v>
      </c>
      <c r="J47" s="237">
        <v>28</v>
      </c>
      <c r="K47" s="237">
        <v>28.1</v>
      </c>
      <c r="L47" s="237">
        <v>28.1</v>
      </c>
      <c r="M47" s="221">
        <v>28</v>
      </c>
      <c r="N47" s="221">
        <v>28</v>
      </c>
      <c r="O47" s="221">
        <v>28</v>
      </c>
      <c r="P47" s="221">
        <v>28</v>
      </c>
      <c r="Q47" s="221">
        <v>28</v>
      </c>
      <c r="R47" s="221">
        <v>28</v>
      </c>
      <c r="S47" s="221">
        <v>28</v>
      </c>
      <c r="T47" s="221">
        <v>28</v>
      </c>
      <c r="U47" s="221">
        <v>28</v>
      </c>
      <c r="V47" s="221">
        <v>28</v>
      </c>
      <c r="W47" s="221">
        <v>28</v>
      </c>
      <c r="X47" s="221">
        <v>28</v>
      </c>
      <c r="Y47" s="221">
        <v>28</v>
      </c>
      <c r="Z47" s="221">
        <v>28</v>
      </c>
      <c r="AA47" s="221">
        <v>28</v>
      </c>
      <c r="AB47" s="221">
        <v>28</v>
      </c>
      <c r="AC47" s="221">
        <v>28</v>
      </c>
      <c r="AD47" s="221">
        <v>28</v>
      </c>
      <c r="AE47" s="221">
        <v>28</v>
      </c>
      <c r="AF47" s="221">
        <v>28</v>
      </c>
      <c r="AG47" s="235">
        <v>30</v>
      </c>
      <c r="AH47" s="226">
        <f t="shared" si="2"/>
        <v>28.2</v>
      </c>
      <c r="AI47" s="227">
        <f t="shared" si="3"/>
        <v>15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4</v>
      </c>
      <c r="L48" s="245">
        <v>8</v>
      </c>
      <c r="M48" s="245">
        <v>8</v>
      </c>
      <c r="N48" s="245">
        <v>8</v>
      </c>
      <c r="O48" s="221">
        <v>8</v>
      </c>
      <c r="P48" s="221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8</v>
      </c>
      <c r="Z48" s="221">
        <v>8</v>
      </c>
      <c r="AA48" s="221">
        <v>8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17.399999999999999</v>
      </c>
      <c r="C49" s="245">
        <v>17.3</v>
      </c>
      <c r="D49" s="245">
        <v>17.3</v>
      </c>
      <c r="E49" s="245">
        <v>17.3</v>
      </c>
      <c r="F49" s="245">
        <v>17.3</v>
      </c>
      <c r="G49" s="245">
        <v>16.7</v>
      </c>
      <c r="H49" s="245">
        <v>16.7</v>
      </c>
      <c r="I49" s="245">
        <v>16.7</v>
      </c>
      <c r="J49" s="245">
        <v>16.7</v>
      </c>
      <c r="K49" s="245">
        <v>16.899999999999999</v>
      </c>
      <c r="L49" s="245">
        <v>16.8</v>
      </c>
      <c r="M49" s="245">
        <v>16.8</v>
      </c>
      <c r="N49" s="245">
        <v>16.8</v>
      </c>
      <c r="O49" s="221">
        <v>17.399999999999999</v>
      </c>
      <c r="P49" s="221">
        <v>15.5</v>
      </c>
      <c r="Q49" s="221">
        <v>15</v>
      </c>
      <c r="R49" s="221">
        <v>15</v>
      </c>
      <c r="S49" s="221">
        <v>15</v>
      </c>
      <c r="T49" s="221">
        <v>15</v>
      </c>
      <c r="U49" s="221">
        <v>15</v>
      </c>
      <c r="V49" s="221">
        <v>15</v>
      </c>
      <c r="W49" s="221">
        <v>15</v>
      </c>
      <c r="X49" s="221">
        <v>15</v>
      </c>
      <c r="Y49" s="221">
        <v>15</v>
      </c>
      <c r="Z49" s="221">
        <v>15</v>
      </c>
      <c r="AA49" s="221">
        <v>15</v>
      </c>
      <c r="AB49" s="221">
        <v>17</v>
      </c>
      <c r="AC49" s="221">
        <v>17</v>
      </c>
      <c r="AD49" s="221">
        <v>17</v>
      </c>
      <c r="AE49" s="221">
        <v>17</v>
      </c>
      <c r="AF49" s="221">
        <v>17</v>
      </c>
      <c r="AG49" s="235">
        <v>24</v>
      </c>
      <c r="AH49" s="226">
        <f t="shared" si="2"/>
        <v>17.399999999999999</v>
      </c>
      <c r="AI49" s="227">
        <f t="shared" si="3"/>
        <v>15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12.3</v>
      </c>
      <c r="C51" s="245">
        <v>12.6</v>
      </c>
      <c r="D51" s="245">
        <v>12.6</v>
      </c>
      <c r="E51" s="245">
        <v>12.6</v>
      </c>
      <c r="F51" s="245">
        <v>12.6</v>
      </c>
      <c r="G51" s="245">
        <v>12.6</v>
      </c>
      <c r="H51" s="245">
        <v>12.6</v>
      </c>
      <c r="I51" s="245">
        <v>12.6</v>
      </c>
      <c r="J51" s="245">
        <v>12.6</v>
      </c>
      <c r="K51" s="245">
        <v>11.9</v>
      </c>
      <c r="L51" s="245">
        <v>11.1</v>
      </c>
      <c r="M51" s="245">
        <v>11.1</v>
      </c>
      <c r="N51" s="245">
        <v>11.1</v>
      </c>
      <c r="O51" s="221">
        <v>13.1</v>
      </c>
      <c r="P51" s="221">
        <v>13.1</v>
      </c>
      <c r="Q51" s="221">
        <v>10.4</v>
      </c>
      <c r="R51" s="221">
        <v>10.4</v>
      </c>
      <c r="S51" s="221">
        <v>10.4</v>
      </c>
      <c r="T51" s="221">
        <v>10.4</v>
      </c>
      <c r="U51" s="221">
        <v>10.4</v>
      </c>
      <c r="V51" s="221">
        <v>10.4</v>
      </c>
      <c r="W51" s="221">
        <v>10.4</v>
      </c>
      <c r="X51" s="221">
        <v>10.4</v>
      </c>
      <c r="Y51" s="221">
        <v>10.4</v>
      </c>
      <c r="Z51" s="221">
        <v>10.4</v>
      </c>
      <c r="AA51" s="221">
        <v>10.4</v>
      </c>
      <c r="AB51" s="221">
        <v>12.9</v>
      </c>
      <c r="AC51" s="221">
        <v>12.9</v>
      </c>
      <c r="AD51" s="221">
        <v>12.9</v>
      </c>
      <c r="AE51" s="221">
        <v>12.9</v>
      </c>
      <c r="AF51" s="221">
        <v>12.9</v>
      </c>
      <c r="AG51" s="235">
        <v>14.1</v>
      </c>
      <c r="AH51" s="226">
        <f t="shared" si="2"/>
        <v>13.1</v>
      </c>
      <c r="AI51" s="227">
        <f t="shared" si="3"/>
        <v>10.4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13.6</v>
      </c>
      <c r="C52" s="245">
        <v>13.7</v>
      </c>
      <c r="D52" s="245">
        <v>13.7</v>
      </c>
      <c r="E52" s="245">
        <v>12.2</v>
      </c>
      <c r="F52" s="245">
        <v>12.2</v>
      </c>
      <c r="G52" s="245">
        <v>12.2</v>
      </c>
      <c r="H52" s="245">
        <v>12.2</v>
      </c>
      <c r="I52" s="245">
        <v>12.2</v>
      </c>
      <c r="J52" s="245">
        <v>14</v>
      </c>
      <c r="K52" s="245">
        <v>14</v>
      </c>
      <c r="L52" s="245">
        <v>14</v>
      </c>
      <c r="M52" s="245">
        <v>14</v>
      </c>
      <c r="N52" s="245">
        <v>14</v>
      </c>
      <c r="O52" s="221">
        <v>6.8</v>
      </c>
      <c r="P52" s="221">
        <v>6.8</v>
      </c>
      <c r="Q52" s="221">
        <v>7</v>
      </c>
      <c r="R52" s="221">
        <v>7</v>
      </c>
      <c r="S52" s="221">
        <v>7</v>
      </c>
      <c r="T52" s="221">
        <v>7</v>
      </c>
      <c r="U52" s="221">
        <v>7</v>
      </c>
      <c r="V52" s="221">
        <v>7</v>
      </c>
      <c r="W52" s="221">
        <v>7</v>
      </c>
      <c r="X52" s="221">
        <v>7</v>
      </c>
      <c r="Y52" s="221">
        <v>7</v>
      </c>
      <c r="Z52" s="221">
        <v>7</v>
      </c>
      <c r="AA52" s="221">
        <v>7</v>
      </c>
      <c r="AB52" s="221">
        <v>7</v>
      </c>
      <c r="AC52" s="221">
        <v>7</v>
      </c>
      <c r="AD52" s="221">
        <v>7</v>
      </c>
      <c r="AE52" s="221">
        <v>7</v>
      </c>
      <c r="AF52" s="221">
        <v>7</v>
      </c>
      <c r="AG52" s="235">
        <v>14</v>
      </c>
      <c r="AH52" s="226">
        <f t="shared" si="2"/>
        <v>14</v>
      </c>
      <c r="AI52" s="227">
        <f t="shared" si="3"/>
        <v>6.8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21">
        <v>10</v>
      </c>
      <c r="P53" s="221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426.34000000000009</v>
      </c>
      <c r="C56" s="241">
        <f t="shared" ref="C56:AG56" si="7">SUM(C43:C55)</f>
        <v>426.64000000000004</v>
      </c>
      <c r="D56" s="241">
        <f t="shared" si="7"/>
        <v>426.94</v>
      </c>
      <c r="E56" s="241">
        <f t="shared" si="7"/>
        <v>402.14000000000004</v>
      </c>
      <c r="F56" s="241">
        <f t="shared" si="7"/>
        <v>408.54000000000008</v>
      </c>
      <c r="G56" s="241">
        <f t="shared" si="7"/>
        <v>363.94</v>
      </c>
      <c r="H56" s="241">
        <f t="shared" si="7"/>
        <v>363.94</v>
      </c>
      <c r="I56" s="241">
        <f t="shared" si="7"/>
        <v>363.94</v>
      </c>
      <c r="J56" s="241">
        <f t="shared" si="7"/>
        <v>362.74</v>
      </c>
      <c r="K56" s="241">
        <f t="shared" si="7"/>
        <v>368.24</v>
      </c>
      <c r="L56" s="241">
        <f t="shared" si="7"/>
        <v>373.64000000000004</v>
      </c>
      <c r="M56" s="241">
        <f t="shared" si="7"/>
        <v>372.34000000000003</v>
      </c>
      <c r="N56" s="241">
        <f t="shared" si="7"/>
        <v>372.34000000000003</v>
      </c>
      <c r="O56" s="241">
        <f t="shared" si="7"/>
        <v>432.03999999999996</v>
      </c>
      <c r="P56" s="241">
        <f t="shared" si="7"/>
        <v>429.64000000000004</v>
      </c>
      <c r="Q56" s="241">
        <f t="shared" si="7"/>
        <v>426.14</v>
      </c>
      <c r="R56" s="241">
        <f t="shared" si="7"/>
        <v>426.14</v>
      </c>
      <c r="S56" s="241">
        <f t="shared" si="7"/>
        <v>426.14</v>
      </c>
      <c r="T56" s="241">
        <f t="shared" si="7"/>
        <v>426.14</v>
      </c>
      <c r="U56" s="241">
        <f t="shared" si="7"/>
        <v>426.14</v>
      </c>
      <c r="V56" s="241">
        <f t="shared" si="7"/>
        <v>426.14</v>
      </c>
      <c r="W56" s="241">
        <f t="shared" si="7"/>
        <v>426.14</v>
      </c>
      <c r="X56" s="241">
        <f t="shared" si="7"/>
        <v>426.14</v>
      </c>
      <c r="Y56" s="241">
        <f t="shared" si="7"/>
        <v>426.14</v>
      </c>
      <c r="Z56" s="241">
        <f t="shared" si="7"/>
        <v>426.14</v>
      </c>
      <c r="AA56" s="241">
        <f t="shared" si="7"/>
        <v>426.14</v>
      </c>
      <c r="AB56" s="241">
        <f t="shared" si="7"/>
        <v>422.94</v>
      </c>
      <c r="AC56" s="241">
        <f t="shared" si="7"/>
        <v>422.94</v>
      </c>
      <c r="AD56" s="241">
        <f t="shared" si="7"/>
        <v>422.94</v>
      </c>
      <c r="AE56" s="241">
        <f t="shared" si="7"/>
        <v>422.94</v>
      </c>
      <c r="AF56" s="241">
        <f t="shared" si="7"/>
        <v>377.84</v>
      </c>
      <c r="AG56" s="242">
        <f t="shared" si="7"/>
        <v>489.91</v>
      </c>
      <c r="AH56" s="226">
        <f t="shared" si="2"/>
        <v>432.03999999999996</v>
      </c>
      <c r="AI56" s="227">
        <f t="shared" si="3"/>
        <v>362.74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20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20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15.4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15.4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5.6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5.6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8">SUM(C57:C59)</f>
        <v>0</v>
      </c>
      <c r="D60" s="241">
        <f t="shared" si="8"/>
        <v>0</v>
      </c>
      <c r="E60" s="241">
        <f t="shared" si="8"/>
        <v>0</v>
      </c>
      <c r="F60" s="241">
        <f t="shared" si="8"/>
        <v>0</v>
      </c>
      <c r="G60" s="241">
        <f t="shared" si="8"/>
        <v>0</v>
      </c>
      <c r="H60" s="241">
        <f t="shared" si="8"/>
        <v>0</v>
      </c>
      <c r="I60" s="241">
        <f t="shared" si="8"/>
        <v>0</v>
      </c>
      <c r="J60" s="241">
        <f t="shared" si="8"/>
        <v>0</v>
      </c>
      <c r="K60" s="241">
        <f t="shared" si="8"/>
        <v>0</v>
      </c>
      <c r="L60" s="241">
        <f t="shared" si="8"/>
        <v>0</v>
      </c>
      <c r="M60" s="241">
        <f t="shared" si="8"/>
        <v>0</v>
      </c>
      <c r="N60" s="241">
        <f t="shared" si="8"/>
        <v>0</v>
      </c>
      <c r="O60" s="241">
        <f t="shared" si="8"/>
        <v>0</v>
      </c>
      <c r="P60" s="241">
        <f t="shared" si="8"/>
        <v>0</v>
      </c>
      <c r="Q60" s="241">
        <f t="shared" si="8"/>
        <v>0</v>
      </c>
      <c r="R60" s="241">
        <f t="shared" si="8"/>
        <v>0</v>
      </c>
      <c r="S60" s="241">
        <f t="shared" si="8"/>
        <v>0</v>
      </c>
      <c r="T60" s="241">
        <f t="shared" si="8"/>
        <v>41</v>
      </c>
      <c r="U60" s="241">
        <f t="shared" si="8"/>
        <v>0</v>
      </c>
      <c r="V60" s="241">
        <f t="shared" si="8"/>
        <v>0</v>
      </c>
      <c r="W60" s="241">
        <f t="shared" si="8"/>
        <v>0</v>
      </c>
      <c r="X60" s="241">
        <f t="shared" si="8"/>
        <v>0</v>
      </c>
      <c r="Y60" s="241">
        <f t="shared" si="8"/>
        <v>0</v>
      </c>
      <c r="Z60" s="241">
        <f t="shared" si="8"/>
        <v>0</v>
      </c>
      <c r="AA60" s="241">
        <f t="shared" si="8"/>
        <v>0</v>
      </c>
      <c r="AB60" s="241">
        <f t="shared" si="8"/>
        <v>0</v>
      </c>
      <c r="AC60" s="241">
        <f t="shared" si="8"/>
        <v>0</v>
      </c>
      <c r="AD60" s="241">
        <f t="shared" si="8"/>
        <v>0</v>
      </c>
      <c r="AE60" s="241">
        <f t="shared" si="8"/>
        <v>0</v>
      </c>
      <c r="AF60" s="241">
        <f t="shared" si="8"/>
        <v>0</v>
      </c>
      <c r="AG60" s="242">
        <f t="shared" si="8"/>
        <v>106</v>
      </c>
      <c r="AH60" s="226">
        <f t="shared" si="2"/>
        <v>41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2.4</v>
      </c>
      <c r="M61" s="221">
        <v>33.4</v>
      </c>
      <c r="N61" s="221">
        <v>12.1</v>
      </c>
      <c r="O61" s="221">
        <v>14.4</v>
      </c>
      <c r="P61" s="221">
        <v>18.899999999999999</v>
      </c>
      <c r="Q61" s="221">
        <v>19.399999999999999</v>
      </c>
      <c r="R61" s="221">
        <v>19.399999999999999</v>
      </c>
      <c r="S61" s="221">
        <v>13.2</v>
      </c>
      <c r="T61" s="221">
        <v>30.1</v>
      </c>
      <c r="U61" s="221">
        <v>30.1</v>
      </c>
      <c r="V61" s="221">
        <v>8.6999999999999993</v>
      </c>
      <c r="W61" s="221">
        <v>7</v>
      </c>
      <c r="X61" s="221">
        <v>5.9</v>
      </c>
      <c r="Y61" s="221">
        <v>5.6</v>
      </c>
      <c r="Z61" s="221">
        <v>22.7</v>
      </c>
      <c r="AA61" s="221">
        <v>25.7</v>
      </c>
      <c r="AB61" s="221">
        <v>41.1</v>
      </c>
      <c r="AC61" s="221">
        <v>42.4</v>
      </c>
      <c r="AD61" s="221">
        <v>40.799999999999997</v>
      </c>
      <c r="AE61" s="221">
        <v>39.5</v>
      </c>
      <c r="AF61" s="221">
        <v>18.3</v>
      </c>
      <c r="AG61" s="230"/>
      <c r="AH61" s="226">
        <f t="shared" si="2"/>
        <v>42.4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-401</v>
      </c>
      <c r="C63" s="245">
        <v>-398</v>
      </c>
      <c r="D63" s="245">
        <v>-410</v>
      </c>
      <c r="E63" s="245">
        <v>-422</v>
      </c>
      <c r="F63" s="245">
        <v>-415</v>
      </c>
      <c r="G63" s="245">
        <v>-419.2</v>
      </c>
      <c r="H63" s="245">
        <v>-421</v>
      </c>
      <c r="I63" s="245">
        <v>-417</v>
      </c>
      <c r="J63" s="245">
        <v>-399.7</v>
      </c>
      <c r="K63" s="245">
        <v>-387.1</v>
      </c>
      <c r="L63" s="245">
        <v>-376.1</v>
      </c>
      <c r="M63" s="245">
        <v>-406.6</v>
      </c>
      <c r="N63" s="245">
        <v>-368.5</v>
      </c>
      <c r="O63" s="245">
        <v>-368.2</v>
      </c>
      <c r="P63" s="245">
        <v>-380.6</v>
      </c>
      <c r="Q63" s="245">
        <v>-354.1</v>
      </c>
      <c r="R63" s="245">
        <v>-354.1</v>
      </c>
      <c r="S63" s="245">
        <v>-357</v>
      </c>
      <c r="T63" s="245">
        <v>-354</v>
      </c>
      <c r="U63" s="245">
        <v>-352</v>
      </c>
      <c r="V63" s="245">
        <v>-370</v>
      </c>
      <c r="W63" s="245">
        <v>-390</v>
      </c>
      <c r="X63" s="245">
        <v>-408</v>
      </c>
      <c r="Y63" s="245">
        <v>-338</v>
      </c>
      <c r="Z63" s="245">
        <v>-219</v>
      </c>
      <c r="AA63" s="245">
        <v>-233</v>
      </c>
      <c r="AB63" s="245">
        <v>-245</v>
      </c>
      <c r="AC63" s="245">
        <v>-275</v>
      </c>
      <c r="AD63" s="245">
        <v>-271</v>
      </c>
      <c r="AE63" s="245">
        <v>-322</v>
      </c>
      <c r="AF63" s="245">
        <v>-323</v>
      </c>
      <c r="AG63" s="255"/>
      <c r="AH63" s="226">
        <f t="shared" si="2"/>
        <v>-219</v>
      </c>
      <c r="AI63" s="227">
        <f t="shared" si="3"/>
        <v>-422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4.5</v>
      </c>
      <c r="AF68" s="256">
        <v>4.5</v>
      </c>
      <c r="AG68" s="255"/>
      <c r="AH68" s="226">
        <f t="shared" si="2"/>
        <v>4.5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6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6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9">SUMIF(C61:C71,"&gt;0")</f>
        <v>0</v>
      </c>
      <c r="D72" s="241">
        <f t="shared" si="9"/>
        <v>0</v>
      </c>
      <c r="E72" s="241">
        <f t="shared" si="9"/>
        <v>0</v>
      </c>
      <c r="F72" s="241">
        <f t="shared" si="9"/>
        <v>0</v>
      </c>
      <c r="G72" s="241">
        <f t="shared" si="9"/>
        <v>0</v>
      </c>
      <c r="H72" s="241">
        <f t="shared" si="9"/>
        <v>0</v>
      </c>
      <c r="I72" s="241">
        <f t="shared" si="9"/>
        <v>0</v>
      </c>
      <c r="J72" s="241">
        <f t="shared" si="9"/>
        <v>0</v>
      </c>
      <c r="K72" s="241">
        <f t="shared" si="9"/>
        <v>0</v>
      </c>
      <c r="L72" s="241">
        <f t="shared" si="9"/>
        <v>2.4</v>
      </c>
      <c r="M72" s="241">
        <f>SUMIF(M61:M71,"&gt;0")</f>
        <v>33.4</v>
      </c>
      <c r="N72" s="241">
        <f t="shared" ref="N72:AF72" si="10">SUMIF(N61:N71,"&gt;0")</f>
        <v>12.1</v>
      </c>
      <c r="O72" s="241">
        <f t="shared" si="10"/>
        <v>14.4</v>
      </c>
      <c r="P72" s="241">
        <f t="shared" si="10"/>
        <v>18.899999999999999</v>
      </c>
      <c r="Q72" s="241">
        <f t="shared" si="10"/>
        <v>19.399999999999999</v>
      </c>
      <c r="R72" s="241">
        <f t="shared" si="10"/>
        <v>19.399999999999999</v>
      </c>
      <c r="S72" s="241">
        <f t="shared" si="10"/>
        <v>13.2</v>
      </c>
      <c r="T72" s="241">
        <f t="shared" si="10"/>
        <v>30.1</v>
      </c>
      <c r="U72" s="241">
        <f t="shared" si="10"/>
        <v>30.1</v>
      </c>
      <c r="V72" s="241">
        <f t="shared" si="10"/>
        <v>8.6999999999999993</v>
      </c>
      <c r="W72" s="241">
        <f t="shared" si="10"/>
        <v>7</v>
      </c>
      <c r="X72" s="241">
        <f t="shared" si="10"/>
        <v>5.9</v>
      </c>
      <c r="Y72" s="241">
        <f t="shared" si="10"/>
        <v>5.6</v>
      </c>
      <c r="Z72" s="241">
        <f t="shared" si="10"/>
        <v>22.7</v>
      </c>
      <c r="AA72" s="241">
        <f t="shared" si="10"/>
        <v>25.7</v>
      </c>
      <c r="AB72" s="241">
        <f t="shared" si="10"/>
        <v>41.1</v>
      </c>
      <c r="AC72" s="241">
        <f t="shared" si="10"/>
        <v>42.4</v>
      </c>
      <c r="AD72" s="241">
        <f t="shared" si="10"/>
        <v>40.799999999999997</v>
      </c>
      <c r="AE72" s="241">
        <f t="shared" si="10"/>
        <v>44</v>
      </c>
      <c r="AF72" s="241">
        <f t="shared" si="10"/>
        <v>22.8</v>
      </c>
      <c r="AG72" s="261">
        <f>SUM(AG61:AG71)</f>
        <v>0</v>
      </c>
      <c r="AH72" s="226">
        <f t="shared" si="2"/>
        <v>44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1752.88</v>
      </c>
      <c r="C77" s="263">
        <f t="shared" ref="C77:AF77" si="11">C38+C42+C60+C56+C72+C76</f>
        <v>1748.14</v>
      </c>
      <c r="D77" s="263">
        <f t="shared" si="11"/>
        <v>1749.24</v>
      </c>
      <c r="E77" s="263">
        <f t="shared" si="11"/>
        <v>1710.44</v>
      </c>
      <c r="F77" s="263">
        <f t="shared" si="11"/>
        <v>1716.8400000000001</v>
      </c>
      <c r="G77" s="263">
        <f t="shared" si="11"/>
        <v>1672.24</v>
      </c>
      <c r="H77" s="263">
        <f t="shared" si="11"/>
        <v>1672.24</v>
      </c>
      <c r="I77" s="263">
        <f t="shared" si="11"/>
        <v>1672.24</v>
      </c>
      <c r="J77" s="263">
        <f t="shared" si="11"/>
        <v>1667.04</v>
      </c>
      <c r="K77" s="263">
        <f t="shared" si="11"/>
        <v>1690.54</v>
      </c>
      <c r="L77" s="263">
        <f t="shared" si="11"/>
        <v>1736.14</v>
      </c>
      <c r="M77" s="263">
        <f t="shared" si="11"/>
        <v>1754.8400000000001</v>
      </c>
      <c r="N77" s="263">
        <f t="shared" si="11"/>
        <v>1738.54</v>
      </c>
      <c r="O77" s="263">
        <f t="shared" si="11"/>
        <v>1788.24</v>
      </c>
      <c r="P77" s="263">
        <f t="shared" si="11"/>
        <v>1795.7400000000002</v>
      </c>
      <c r="Q77" s="263">
        <f t="shared" si="11"/>
        <v>1809.7399999999998</v>
      </c>
      <c r="R77" s="263">
        <f t="shared" si="11"/>
        <v>1809.7399999999998</v>
      </c>
      <c r="S77" s="263">
        <f t="shared" si="11"/>
        <v>1810.74</v>
      </c>
      <c r="T77" s="263">
        <f t="shared" si="11"/>
        <v>1873.6399999999999</v>
      </c>
      <c r="U77" s="263">
        <f t="shared" si="11"/>
        <v>1833.6399999999999</v>
      </c>
      <c r="V77" s="263">
        <f t="shared" si="11"/>
        <v>1795.24</v>
      </c>
      <c r="W77" s="263">
        <f t="shared" si="11"/>
        <v>1783.54</v>
      </c>
      <c r="X77" s="263">
        <f t="shared" si="11"/>
        <v>1766.44</v>
      </c>
      <c r="Y77" s="263">
        <f t="shared" si="11"/>
        <v>1766.1399999999999</v>
      </c>
      <c r="Z77" s="263">
        <f t="shared" si="11"/>
        <v>1793.9399999999998</v>
      </c>
      <c r="AA77" s="263">
        <f t="shared" si="11"/>
        <v>1796.9399999999998</v>
      </c>
      <c r="AB77" s="263">
        <f t="shared" si="11"/>
        <v>1842.6399999999999</v>
      </c>
      <c r="AC77" s="263">
        <f t="shared" si="11"/>
        <v>1843.94</v>
      </c>
      <c r="AD77" s="263">
        <f t="shared" si="11"/>
        <v>1835.34</v>
      </c>
      <c r="AE77" s="263">
        <f t="shared" si="11"/>
        <v>1836.54</v>
      </c>
      <c r="AF77" s="263">
        <f t="shared" si="11"/>
        <v>1767.2399999999998</v>
      </c>
      <c r="AG77" s="242">
        <f>AG38+AG42+AG60+AG56+AG72+AG76</f>
        <v>1855.1900000000003</v>
      </c>
      <c r="AH77" s="226">
        <f t="shared" si="2"/>
        <v>1873.6399999999999</v>
      </c>
      <c r="AI77" s="227">
        <f t="shared" si="3"/>
        <v>1667.04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1752.88</v>
      </c>
      <c r="C79" s="263">
        <f t="shared" ref="C79:AF79" si="12">C77+C78</f>
        <v>1748.14</v>
      </c>
      <c r="D79" s="263">
        <f t="shared" si="12"/>
        <v>1749.24</v>
      </c>
      <c r="E79" s="263">
        <f t="shared" si="12"/>
        <v>1710.44</v>
      </c>
      <c r="F79" s="263">
        <f t="shared" si="12"/>
        <v>1716.8400000000001</v>
      </c>
      <c r="G79" s="263">
        <f t="shared" si="12"/>
        <v>1672.24</v>
      </c>
      <c r="H79" s="263">
        <f t="shared" si="12"/>
        <v>1672.24</v>
      </c>
      <c r="I79" s="263">
        <f t="shared" si="12"/>
        <v>1672.24</v>
      </c>
      <c r="J79" s="263">
        <f t="shared" si="12"/>
        <v>1667.04</v>
      </c>
      <c r="K79" s="263">
        <f t="shared" si="12"/>
        <v>1690.54</v>
      </c>
      <c r="L79" s="263">
        <f t="shared" si="12"/>
        <v>1736.14</v>
      </c>
      <c r="M79" s="263">
        <f t="shared" si="12"/>
        <v>1754.8400000000001</v>
      </c>
      <c r="N79" s="263">
        <f t="shared" si="12"/>
        <v>1738.54</v>
      </c>
      <c r="O79" s="263">
        <f t="shared" si="12"/>
        <v>1788.24</v>
      </c>
      <c r="P79" s="263">
        <f t="shared" si="12"/>
        <v>1795.7400000000002</v>
      </c>
      <c r="Q79" s="263">
        <f t="shared" si="12"/>
        <v>1809.7399999999998</v>
      </c>
      <c r="R79" s="263">
        <f t="shared" si="12"/>
        <v>1809.7399999999998</v>
      </c>
      <c r="S79" s="263">
        <f t="shared" si="12"/>
        <v>1810.74</v>
      </c>
      <c r="T79" s="263">
        <f t="shared" si="12"/>
        <v>1873.6399999999999</v>
      </c>
      <c r="U79" s="263">
        <f t="shared" si="12"/>
        <v>1833.6399999999999</v>
      </c>
      <c r="V79" s="263">
        <f t="shared" si="12"/>
        <v>1795.24</v>
      </c>
      <c r="W79" s="263">
        <f t="shared" si="12"/>
        <v>1783.54</v>
      </c>
      <c r="X79" s="263">
        <f t="shared" si="12"/>
        <v>1766.44</v>
      </c>
      <c r="Y79" s="263">
        <f t="shared" si="12"/>
        <v>1766.1399999999999</v>
      </c>
      <c r="Z79" s="263">
        <f t="shared" si="12"/>
        <v>1793.9399999999998</v>
      </c>
      <c r="AA79" s="263">
        <f t="shared" si="12"/>
        <v>1796.9399999999998</v>
      </c>
      <c r="AB79" s="263">
        <f t="shared" si="12"/>
        <v>1842.6399999999999</v>
      </c>
      <c r="AC79" s="263">
        <f t="shared" si="12"/>
        <v>1843.94</v>
      </c>
      <c r="AD79" s="263">
        <f t="shared" si="12"/>
        <v>1835.34</v>
      </c>
      <c r="AE79" s="263">
        <f t="shared" si="12"/>
        <v>1836.54</v>
      </c>
      <c r="AF79" s="263">
        <f t="shared" si="12"/>
        <v>1767.2399999999998</v>
      </c>
      <c r="AG79" s="261">
        <f>AG76+AG72+AG60+AG56+AG38+AG78</f>
        <v>1317.0900000000001</v>
      </c>
      <c r="AH79" s="226">
        <f t="shared" si="2"/>
        <v>1873.6399999999999</v>
      </c>
      <c r="AI79" s="227">
        <f t="shared" si="3"/>
        <v>1667.04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>B79-B87</f>
        <v>1351.88</v>
      </c>
      <c r="C80" s="263">
        <f t="shared" ref="C80:AF80" si="13">C79-C87</f>
        <v>1350.14</v>
      </c>
      <c r="D80" s="263">
        <f t="shared" si="13"/>
        <v>1339.24</v>
      </c>
      <c r="E80" s="263">
        <f t="shared" si="13"/>
        <v>1288.44</v>
      </c>
      <c r="F80" s="263">
        <f t="shared" si="13"/>
        <v>1301.8400000000001</v>
      </c>
      <c r="G80" s="263">
        <f t="shared" si="13"/>
        <v>1253.04</v>
      </c>
      <c r="H80" s="263">
        <f t="shared" si="13"/>
        <v>1251.24</v>
      </c>
      <c r="I80" s="263">
        <f t="shared" si="13"/>
        <v>1255.24</v>
      </c>
      <c r="J80" s="263">
        <f t="shared" si="13"/>
        <v>1267.3399999999999</v>
      </c>
      <c r="K80" s="263">
        <f t="shared" si="13"/>
        <v>1303.44</v>
      </c>
      <c r="L80" s="263">
        <f t="shared" si="13"/>
        <v>1360.04</v>
      </c>
      <c r="M80" s="263">
        <f t="shared" si="13"/>
        <v>1348.2400000000002</v>
      </c>
      <c r="N80" s="263">
        <f t="shared" si="13"/>
        <v>1370.04</v>
      </c>
      <c r="O80" s="263">
        <f t="shared" si="13"/>
        <v>1420.04</v>
      </c>
      <c r="P80" s="263">
        <f t="shared" si="13"/>
        <v>1415.1400000000003</v>
      </c>
      <c r="Q80" s="263">
        <f t="shared" si="13"/>
        <v>1455.6399999999999</v>
      </c>
      <c r="R80" s="263">
        <f t="shared" si="13"/>
        <v>1455.6399999999999</v>
      </c>
      <c r="S80" s="263">
        <f t="shared" si="13"/>
        <v>1453.74</v>
      </c>
      <c r="T80" s="263">
        <f t="shared" si="13"/>
        <v>1519.6399999999999</v>
      </c>
      <c r="U80" s="263">
        <f t="shared" si="13"/>
        <v>1481.6399999999999</v>
      </c>
      <c r="V80" s="263">
        <f t="shared" si="13"/>
        <v>1425.24</v>
      </c>
      <c r="W80" s="263">
        <f t="shared" si="13"/>
        <v>1393.54</v>
      </c>
      <c r="X80" s="263">
        <f t="shared" si="13"/>
        <v>1358.44</v>
      </c>
      <c r="Y80" s="263">
        <f t="shared" si="13"/>
        <v>1428.1399999999999</v>
      </c>
      <c r="Z80" s="263">
        <f t="shared" si="13"/>
        <v>1574.9399999999998</v>
      </c>
      <c r="AA80" s="263">
        <f t="shared" si="13"/>
        <v>1563.9399999999998</v>
      </c>
      <c r="AB80" s="263">
        <f t="shared" si="13"/>
        <v>1597.6399999999999</v>
      </c>
      <c r="AC80" s="263">
        <f t="shared" si="13"/>
        <v>1568.94</v>
      </c>
      <c r="AD80" s="263">
        <f t="shared" si="13"/>
        <v>1564.34</v>
      </c>
      <c r="AE80" s="263">
        <f t="shared" si="13"/>
        <v>1514.54</v>
      </c>
      <c r="AF80" s="263">
        <f t="shared" si="13"/>
        <v>1444.2399999999998</v>
      </c>
      <c r="AG80" s="261"/>
      <c r="AH80" s="226">
        <f t="shared" ref="AH80:AH97" si="14">MAX(B80:AF80)</f>
        <v>1597.6399999999999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5">IF(C64&lt;0,C64*-1,0)</f>
        <v>0</v>
      </c>
      <c r="D81" s="256">
        <f t="shared" si="15"/>
        <v>0</v>
      </c>
      <c r="E81" s="256">
        <f t="shared" si="15"/>
        <v>0</v>
      </c>
      <c r="F81" s="256">
        <f t="shared" si="15"/>
        <v>0</v>
      </c>
      <c r="G81" s="256">
        <f t="shared" si="15"/>
        <v>0</v>
      </c>
      <c r="H81" s="256">
        <f t="shared" si="15"/>
        <v>0</v>
      </c>
      <c r="I81" s="256">
        <f t="shared" si="15"/>
        <v>0</v>
      </c>
      <c r="J81" s="256">
        <f t="shared" si="15"/>
        <v>0</v>
      </c>
      <c r="K81" s="256">
        <f t="shared" si="15"/>
        <v>0</v>
      </c>
      <c r="L81" s="256">
        <f t="shared" si="15"/>
        <v>0</v>
      </c>
      <c r="M81" s="256">
        <f t="shared" si="15"/>
        <v>0</v>
      </c>
      <c r="N81" s="256">
        <f t="shared" si="15"/>
        <v>0</v>
      </c>
      <c r="O81" s="256">
        <f t="shared" si="15"/>
        <v>0</v>
      </c>
      <c r="P81" s="256">
        <f t="shared" si="15"/>
        <v>0</v>
      </c>
      <c r="Q81" s="256">
        <f t="shared" si="15"/>
        <v>0</v>
      </c>
      <c r="R81" s="256">
        <f t="shared" si="15"/>
        <v>0</v>
      </c>
      <c r="S81" s="256">
        <f t="shared" si="15"/>
        <v>0</v>
      </c>
      <c r="T81" s="256">
        <f t="shared" si="15"/>
        <v>0</v>
      </c>
      <c r="U81" s="256">
        <f t="shared" si="15"/>
        <v>0</v>
      </c>
      <c r="V81" s="256">
        <f t="shared" si="15"/>
        <v>0</v>
      </c>
      <c r="W81" s="256">
        <f t="shared" si="15"/>
        <v>0</v>
      </c>
      <c r="X81" s="256">
        <f t="shared" si="15"/>
        <v>0</v>
      </c>
      <c r="Y81" s="256">
        <f t="shared" si="15"/>
        <v>0</v>
      </c>
      <c r="Z81" s="256">
        <f t="shared" si="15"/>
        <v>0</v>
      </c>
      <c r="AA81" s="256">
        <f t="shared" si="15"/>
        <v>0</v>
      </c>
      <c r="AB81" s="256">
        <f t="shared" si="15"/>
        <v>0</v>
      </c>
      <c r="AC81" s="256">
        <f t="shared" si="15"/>
        <v>0</v>
      </c>
      <c r="AD81" s="256">
        <f t="shared" si="15"/>
        <v>0</v>
      </c>
      <c r="AE81" s="256">
        <f t="shared" si="15"/>
        <v>0</v>
      </c>
      <c r="AF81" s="256">
        <f t="shared" si="15"/>
        <v>0</v>
      </c>
      <c r="AG81" s="230"/>
      <c r="AH81" s="226">
        <f t="shared" si="14"/>
        <v>0</v>
      </c>
      <c r="AI81" s="227">
        <f t="shared" ref="AI81:AI97" si="1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7">IF(C62&lt;0,C62*-1,0)</f>
        <v>0</v>
      </c>
      <c r="D82" s="256">
        <f t="shared" si="17"/>
        <v>0</v>
      </c>
      <c r="E82" s="256">
        <f t="shared" si="17"/>
        <v>0</v>
      </c>
      <c r="F82" s="256">
        <f t="shared" si="17"/>
        <v>0</v>
      </c>
      <c r="G82" s="256">
        <f t="shared" si="17"/>
        <v>0</v>
      </c>
      <c r="H82" s="256">
        <f t="shared" si="17"/>
        <v>0</v>
      </c>
      <c r="I82" s="256">
        <f t="shared" si="17"/>
        <v>0</v>
      </c>
      <c r="J82" s="256">
        <f t="shared" si="17"/>
        <v>0</v>
      </c>
      <c r="K82" s="256">
        <f t="shared" si="17"/>
        <v>0</v>
      </c>
      <c r="L82" s="256">
        <f t="shared" si="17"/>
        <v>0</v>
      </c>
      <c r="M82" s="256">
        <f t="shared" si="17"/>
        <v>0</v>
      </c>
      <c r="N82" s="256">
        <f t="shared" si="17"/>
        <v>0</v>
      </c>
      <c r="O82" s="256">
        <f t="shared" si="17"/>
        <v>0</v>
      </c>
      <c r="P82" s="256">
        <f t="shared" si="17"/>
        <v>0</v>
      </c>
      <c r="Q82" s="256">
        <f t="shared" si="17"/>
        <v>0</v>
      </c>
      <c r="R82" s="256">
        <f t="shared" si="17"/>
        <v>0</v>
      </c>
      <c r="S82" s="256">
        <f t="shared" si="17"/>
        <v>0</v>
      </c>
      <c r="T82" s="256">
        <f t="shared" si="17"/>
        <v>0</v>
      </c>
      <c r="U82" s="256">
        <f t="shared" si="17"/>
        <v>0</v>
      </c>
      <c r="V82" s="256">
        <f t="shared" si="17"/>
        <v>0</v>
      </c>
      <c r="W82" s="256">
        <f t="shared" si="17"/>
        <v>0</v>
      </c>
      <c r="X82" s="256">
        <f t="shared" si="17"/>
        <v>0</v>
      </c>
      <c r="Y82" s="256">
        <f t="shared" si="17"/>
        <v>0</v>
      </c>
      <c r="Z82" s="256">
        <f t="shared" si="17"/>
        <v>0</v>
      </c>
      <c r="AA82" s="256">
        <f t="shared" si="17"/>
        <v>0</v>
      </c>
      <c r="AB82" s="256">
        <f t="shared" si="17"/>
        <v>0</v>
      </c>
      <c r="AC82" s="256">
        <f t="shared" si="17"/>
        <v>0</v>
      </c>
      <c r="AD82" s="256">
        <f t="shared" si="17"/>
        <v>0</v>
      </c>
      <c r="AE82" s="256">
        <f t="shared" si="17"/>
        <v>0</v>
      </c>
      <c r="AF82" s="256">
        <f t="shared" si="17"/>
        <v>0</v>
      </c>
      <c r="AG82" s="235"/>
      <c r="AH82" s="226">
        <f t="shared" si="14"/>
        <v>0</v>
      </c>
      <c r="AI82" s="227">
        <f t="shared" si="1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8">IF(C65&lt;0,C65*-1,0)</f>
        <v>0</v>
      </c>
      <c r="D83" s="256">
        <f t="shared" si="18"/>
        <v>0</v>
      </c>
      <c r="E83" s="256">
        <f t="shared" si="18"/>
        <v>0</v>
      </c>
      <c r="F83" s="256">
        <f t="shared" si="18"/>
        <v>0</v>
      </c>
      <c r="G83" s="256">
        <f t="shared" si="18"/>
        <v>0</v>
      </c>
      <c r="H83" s="256">
        <f t="shared" si="18"/>
        <v>0</v>
      </c>
      <c r="I83" s="256">
        <f t="shared" si="18"/>
        <v>0</v>
      </c>
      <c r="J83" s="256">
        <f t="shared" si="18"/>
        <v>0</v>
      </c>
      <c r="K83" s="256">
        <f t="shared" si="18"/>
        <v>0</v>
      </c>
      <c r="L83" s="256">
        <f t="shared" si="18"/>
        <v>0</v>
      </c>
      <c r="M83" s="256">
        <f t="shared" si="18"/>
        <v>0</v>
      </c>
      <c r="N83" s="256">
        <f t="shared" si="18"/>
        <v>0</v>
      </c>
      <c r="O83" s="256">
        <f t="shared" si="18"/>
        <v>0</v>
      </c>
      <c r="P83" s="256">
        <f t="shared" si="18"/>
        <v>0</v>
      </c>
      <c r="Q83" s="256">
        <f t="shared" si="18"/>
        <v>0</v>
      </c>
      <c r="R83" s="256">
        <f t="shared" si="18"/>
        <v>0</v>
      </c>
      <c r="S83" s="256">
        <f t="shared" si="18"/>
        <v>0</v>
      </c>
      <c r="T83" s="256">
        <f t="shared" si="18"/>
        <v>0</v>
      </c>
      <c r="U83" s="256">
        <f t="shared" si="18"/>
        <v>0</v>
      </c>
      <c r="V83" s="256">
        <f t="shared" si="18"/>
        <v>0</v>
      </c>
      <c r="W83" s="256">
        <f t="shared" si="18"/>
        <v>0</v>
      </c>
      <c r="X83" s="256">
        <f t="shared" si="18"/>
        <v>0</v>
      </c>
      <c r="Y83" s="256">
        <f t="shared" si="18"/>
        <v>0</v>
      </c>
      <c r="Z83" s="256">
        <f t="shared" si="18"/>
        <v>0</v>
      </c>
      <c r="AA83" s="256">
        <f t="shared" si="18"/>
        <v>0</v>
      </c>
      <c r="AB83" s="256">
        <f t="shared" si="18"/>
        <v>0</v>
      </c>
      <c r="AC83" s="256">
        <f t="shared" si="18"/>
        <v>0</v>
      </c>
      <c r="AD83" s="256">
        <f t="shared" si="18"/>
        <v>0</v>
      </c>
      <c r="AE83" s="256">
        <f t="shared" si="18"/>
        <v>0</v>
      </c>
      <c r="AF83" s="256">
        <f t="shared" si="18"/>
        <v>0</v>
      </c>
      <c r="AG83" s="266"/>
      <c r="AH83" s="226">
        <f t="shared" si="14"/>
        <v>0</v>
      </c>
      <c r="AI83" s="227">
        <f t="shared" si="1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401</v>
      </c>
      <c r="C84" s="256">
        <f t="shared" ref="C84:AF84" si="19">IF(C63&lt;0,C63*-1,0)</f>
        <v>398</v>
      </c>
      <c r="D84" s="256">
        <f t="shared" si="19"/>
        <v>410</v>
      </c>
      <c r="E84" s="256">
        <f t="shared" si="19"/>
        <v>422</v>
      </c>
      <c r="F84" s="256">
        <f t="shared" si="19"/>
        <v>415</v>
      </c>
      <c r="G84" s="256">
        <f t="shared" si="19"/>
        <v>419.2</v>
      </c>
      <c r="H84" s="256">
        <f t="shared" si="19"/>
        <v>421</v>
      </c>
      <c r="I84" s="256">
        <f t="shared" si="19"/>
        <v>417</v>
      </c>
      <c r="J84" s="256">
        <f t="shared" si="19"/>
        <v>399.7</v>
      </c>
      <c r="K84" s="256">
        <f t="shared" si="19"/>
        <v>387.1</v>
      </c>
      <c r="L84" s="256">
        <f t="shared" si="19"/>
        <v>376.1</v>
      </c>
      <c r="M84" s="256">
        <f t="shared" si="19"/>
        <v>406.6</v>
      </c>
      <c r="N84" s="256">
        <f t="shared" si="19"/>
        <v>368.5</v>
      </c>
      <c r="O84" s="256">
        <f t="shared" si="19"/>
        <v>368.2</v>
      </c>
      <c r="P84" s="256">
        <f t="shared" si="19"/>
        <v>380.6</v>
      </c>
      <c r="Q84" s="256">
        <f t="shared" si="19"/>
        <v>354.1</v>
      </c>
      <c r="R84" s="256">
        <f t="shared" si="19"/>
        <v>354.1</v>
      </c>
      <c r="S84" s="256">
        <f t="shared" si="19"/>
        <v>357</v>
      </c>
      <c r="T84" s="256">
        <f t="shared" si="19"/>
        <v>354</v>
      </c>
      <c r="U84" s="256">
        <f t="shared" si="19"/>
        <v>352</v>
      </c>
      <c r="V84" s="256">
        <f t="shared" si="19"/>
        <v>370</v>
      </c>
      <c r="W84" s="256">
        <f t="shared" si="19"/>
        <v>390</v>
      </c>
      <c r="X84" s="256">
        <f t="shared" si="19"/>
        <v>408</v>
      </c>
      <c r="Y84" s="256">
        <f t="shared" si="19"/>
        <v>338</v>
      </c>
      <c r="Z84" s="256">
        <f t="shared" si="19"/>
        <v>219</v>
      </c>
      <c r="AA84" s="256">
        <f t="shared" si="19"/>
        <v>233</v>
      </c>
      <c r="AB84" s="256">
        <f t="shared" si="19"/>
        <v>245</v>
      </c>
      <c r="AC84" s="256">
        <f t="shared" si="19"/>
        <v>275</v>
      </c>
      <c r="AD84" s="256">
        <f t="shared" si="19"/>
        <v>271</v>
      </c>
      <c r="AE84" s="256">
        <f t="shared" si="19"/>
        <v>322</v>
      </c>
      <c r="AF84" s="256">
        <f t="shared" si="19"/>
        <v>323</v>
      </c>
      <c r="AG84" s="266"/>
      <c r="AH84" s="226">
        <f t="shared" si="14"/>
        <v>422</v>
      </c>
      <c r="AI84" s="227">
        <f t="shared" si="16"/>
        <v>219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0">IF(C61&lt;0,C61*-1,0)</f>
        <v>0</v>
      </c>
      <c r="D85" s="256">
        <f t="shared" si="20"/>
        <v>0</v>
      </c>
      <c r="E85" s="256">
        <f t="shared" si="20"/>
        <v>0</v>
      </c>
      <c r="F85" s="256">
        <f t="shared" si="20"/>
        <v>0</v>
      </c>
      <c r="G85" s="256">
        <f t="shared" si="20"/>
        <v>0</v>
      </c>
      <c r="H85" s="256">
        <f t="shared" si="20"/>
        <v>0</v>
      </c>
      <c r="I85" s="256">
        <f t="shared" si="20"/>
        <v>0</v>
      </c>
      <c r="J85" s="256">
        <f t="shared" si="20"/>
        <v>0</v>
      </c>
      <c r="K85" s="256">
        <f t="shared" si="20"/>
        <v>0</v>
      </c>
      <c r="L85" s="256">
        <f t="shared" si="20"/>
        <v>0</v>
      </c>
      <c r="M85" s="256">
        <f t="shared" si="20"/>
        <v>0</v>
      </c>
      <c r="N85" s="256">
        <f t="shared" si="20"/>
        <v>0</v>
      </c>
      <c r="O85" s="256">
        <f t="shared" si="20"/>
        <v>0</v>
      </c>
      <c r="P85" s="256">
        <f t="shared" si="20"/>
        <v>0</v>
      </c>
      <c r="Q85" s="256">
        <f t="shared" si="20"/>
        <v>0</v>
      </c>
      <c r="R85" s="256">
        <f t="shared" si="20"/>
        <v>0</v>
      </c>
      <c r="S85" s="256">
        <f t="shared" si="20"/>
        <v>0</v>
      </c>
      <c r="T85" s="256">
        <f t="shared" si="20"/>
        <v>0</v>
      </c>
      <c r="U85" s="256">
        <f t="shared" si="20"/>
        <v>0</v>
      </c>
      <c r="V85" s="256">
        <f t="shared" si="20"/>
        <v>0</v>
      </c>
      <c r="W85" s="256">
        <f t="shared" si="20"/>
        <v>0</v>
      </c>
      <c r="X85" s="256">
        <f t="shared" si="20"/>
        <v>0</v>
      </c>
      <c r="Y85" s="256">
        <f t="shared" si="20"/>
        <v>0</v>
      </c>
      <c r="Z85" s="256">
        <f t="shared" si="20"/>
        <v>0</v>
      </c>
      <c r="AA85" s="256">
        <f t="shared" si="20"/>
        <v>0</v>
      </c>
      <c r="AB85" s="256">
        <f t="shared" si="20"/>
        <v>0</v>
      </c>
      <c r="AC85" s="256">
        <f t="shared" si="20"/>
        <v>0</v>
      </c>
      <c r="AD85" s="256">
        <f t="shared" si="20"/>
        <v>0</v>
      </c>
      <c r="AE85" s="256">
        <f t="shared" si="20"/>
        <v>0</v>
      </c>
      <c r="AF85" s="256">
        <f t="shared" si="20"/>
        <v>0</v>
      </c>
      <c r="AG85" s="266"/>
      <c r="AH85" s="226">
        <f t="shared" si="14"/>
        <v>0</v>
      </c>
      <c r="AI85" s="227">
        <f t="shared" si="1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4"/>
        <v>0</v>
      </c>
      <c r="AI86" s="227">
        <f t="shared" si="1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401</v>
      </c>
      <c r="C87" s="241">
        <f t="shared" ref="C87:AF87" si="21">SUM(C81:C86)</f>
        <v>398</v>
      </c>
      <c r="D87" s="241">
        <f t="shared" si="21"/>
        <v>410</v>
      </c>
      <c r="E87" s="241">
        <f t="shared" si="21"/>
        <v>422</v>
      </c>
      <c r="F87" s="241">
        <f t="shared" si="21"/>
        <v>415</v>
      </c>
      <c r="G87" s="241">
        <f t="shared" si="21"/>
        <v>419.2</v>
      </c>
      <c r="H87" s="241">
        <f t="shared" si="21"/>
        <v>421</v>
      </c>
      <c r="I87" s="241">
        <f t="shared" si="21"/>
        <v>417</v>
      </c>
      <c r="J87" s="241">
        <f t="shared" si="21"/>
        <v>399.7</v>
      </c>
      <c r="K87" s="241">
        <f t="shared" si="21"/>
        <v>387.1</v>
      </c>
      <c r="L87" s="241">
        <f t="shared" si="21"/>
        <v>376.1</v>
      </c>
      <c r="M87" s="241">
        <f t="shared" si="21"/>
        <v>406.6</v>
      </c>
      <c r="N87" s="241">
        <f t="shared" si="21"/>
        <v>368.5</v>
      </c>
      <c r="O87" s="241">
        <f t="shared" si="21"/>
        <v>368.2</v>
      </c>
      <c r="P87" s="241">
        <f t="shared" si="21"/>
        <v>380.6</v>
      </c>
      <c r="Q87" s="241">
        <f t="shared" si="21"/>
        <v>354.1</v>
      </c>
      <c r="R87" s="241">
        <f t="shared" si="21"/>
        <v>354.1</v>
      </c>
      <c r="S87" s="241">
        <f t="shared" si="21"/>
        <v>357</v>
      </c>
      <c r="T87" s="241">
        <f t="shared" si="21"/>
        <v>354</v>
      </c>
      <c r="U87" s="241">
        <f t="shared" si="21"/>
        <v>352</v>
      </c>
      <c r="V87" s="241">
        <f t="shared" si="21"/>
        <v>370</v>
      </c>
      <c r="W87" s="241">
        <f t="shared" si="21"/>
        <v>390</v>
      </c>
      <c r="X87" s="241">
        <f t="shared" si="21"/>
        <v>408</v>
      </c>
      <c r="Y87" s="241">
        <f t="shared" si="21"/>
        <v>338</v>
      </c>
      <c r="Z87" s="241">
        <f t="shared" si="21"/>
        <v>219</v>
      </c>
      <c r="AA87" s="241">
        <f t="shared" si="21"/>
        <v>233</v>
      </c>
      <c r="AB87" s="241">
        <f t="shared" si="21"/>
        <v>245</v>
      </c>
      <c r="AC87" s="241">
        <f t="shared" si="21"/>
        <v>275</v>
      </c>
      <c r="AD87" s="241">
        <f t="shared" si="21"/>
        <v>271</v>
      </c>
      <c r="AE87" s="241">
        <f t="shared" si="21"/>
        <v>322</v>
      </c>
      <c r="AF87" s="241">
        <f t="shared" si="21"/>
        <v>323</v>
      </c>
      <c r="AG87" s="261"/>
      <c r="AH87" s="226">
        <f t="shared" si="14"/>
        <v>422</v>
      </c>
      <c r="AI87" s="227">
        <f t="shared" si="16"/>
        <v>219</v>
      </c>
      <c r="AK87" s="228"/>
    </row>
    <row r="88" spans="1:88" s="175" customFormat="1" ht="15.75" thickBot="1" x14ac:dyDescent="0.3">
      <c r="A88" s="254" t="s">
        <v>93</v>
      </c>
      <c r="B88" s="241">
        <f>B72-B87</f>
        <v>-401</v>
      </c>
      <c r="C88" s="241">
        <f t="shared" ref="C88:AF88" si="22">C72-C87</f>
        <v>-398</v>
      </c>
      <c r="D88" s="241">
        <f t="shared" si="22"/>
        <v>-410</v>
      </c>
      <c r="E88" s="241">
        <f t="shared" si="22"/>
        <v>-422</v>
      </c>
      <c r="F88" s="241">
        <f t="shared" si="22"/>
        <v>-415</v>
      </c>
      <c r="G88" s="241">
        <f t="shared" si="22"/>
        <v>-419.2</v>
      </c>
      <c r="H88" s="241">
        <f t="shared" si="22"/>
        <v>-421</v>
      </c>
      <c r="I88" s="241">
        <f t="shared" si="22"/>
        <v>-417</v>
      </c>
      <c r="J88" s="241">
        <f t="shared" si="22"/>
        <v>-399.7</v>
      </c>
      <c r="K88" s="241">
        <f t="shared" si="22"/>
        <v>-387.1</v>
      </c>
      <c r="L88" s="241">
        <f t="shared" si="22"/>
        <v>-373.70000000000005</v>
      </c>
      <c r="M88" s="241">
        <f t="shared" si="22"/>
        <v>-373.20000000000005</v>
      </c>
      <c r="N88" s="241">
        <f t="shared" si="22"/>
        <v>-356.4</v>
      </c>
      <c r="O88" s="241">
        <f t="shared" si="22"/>
        <v>-353.8</v>
      </c>
      <c r="P88" s="241">
        <f t="shared" si="22"/>
        <v>-361.70000000000005</v>
      </c>
      <c r="Q88" s="241">
        <f t="shared" si="22"/>
        <v>-334.70000000000005</v>
      </c>
      <c r="R88" s="241">
        <f t="shared" si="22"/>
        <v>-334.70000000000005</v>
      </c>
      <c r="S88" s="241">
        <f t="shared" si="22"/>
        <v>-343.8</v>
      </c>
      <c r="T88" s="241">
        <f t="shared" si="22"/>
        <v>-323.89999999999998</v>
      </c>
      <c r="U88" s="241">
        <f t="shared" si="22"/>
        <v>-321.89999999999998</v>
      </c>
      <c r="V88" s="241">
        <f t="shared" si="22"/>
        <v>-361.3</v>
      </c>
      <c r="W88" s="241">
        <f t="shared" si="22"/>
        <v>-383</v>
      </c>
      <c r="X88" s="241">
        <f t="shared" si="22"/>
        <v>-402.1</v>
      </c>
      <c r="Y88" s="241">
        <f t="shared" si="22"/>
        <v>-332.4</v>
      </c>
      <c r="Z88" s="241">
        <f t="shared" si="22"/>
        <v>-196.3</v>
      </c>
      <c r="AA88" s="241">
        <f t="shared" si="22"/>
        <v>-207.3</v>
      </c>
      <c r="AB88" s="241">
        <f t="shared" si="22"/>
        <v>-203.9</v>
      </c>
      <c r="AC88" s="241">
        <f t="shared" si="22"/>
        <v>-232.6</v>
      </c>
      <c r="AD88" s="241">
        <f t="shared" si="22"/>
        <v>-230.2</v>
      </c>
      <c r="AE88" s="241">
        <f t="shared" si="22"/>
        <v>-278</v>
      </c>
      <c r="AF88" s="241">
        <f t="shared" si="22"/>
        <v>-300.2</v>
      </c>
      <c r="AG88" s="261"/>
      <c r="AH88" s="226">
        <f t="shared" si="14"/>
        <v>-196.3</v>
      </c>
      <c r="AI88" s="227">
        <f t="shared" si="16"/>
        <v>-422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49.96</v>
      </c>
      <c r="C89" s="269">
        <v>49.97</v>
      </c>
      <c r="D89" s="269">
        <v>49.96</v>
      </c>
      <c r="E89" s="269">
        <v>49.9</v>
      </c>
      <c r="F89" s="269">
        <v>49.98</v>
      </c>
      <c r="G89" s="269">
        <v>49.935000000000002</v>
      </c>
      <c r="H89" s="269">
        <v>49.935000000000002</v>
      </c>
      <c r="I89" s="269">
        <v>49.935000000000002</v>
      </c>
      <c r="J89" s="269">
        <v>49.872999999999998</v>
      </c>
      <c r="K89" s="269">
        <v>49.959000000000003</v>
      </c>
      <c r="L89" s="269">
        <v>49.789000000000001</v>
      </c>
      <c r="M89" s="269">
        <v>50.024999999999999</v>
      </c>
      <c r="N89" s="269">
        <v>50.012</v>
      </c>
      <c r="O89" s="269">
        <v>50.033000000000001</v>
      </c>
      <c r="P89" s="269">
        <v>50.008000000000003</v>
      </c>
      <c r="Q89" s="269">
        <v>50.006999999999998</v>
      </c>
      <c r="R89" s="269">
        <v>50.006999999999998</v>
      </c>
      <c r="S89" s="269">
        <v>49.92</v>
      </c>
      <c r="T89" s="269">
        <v>50.05</v>
      </c>
      <c r="U89" s="269">
        <v>49.98</v>
      </c>
      <c r="V89" s="269">
        <v>49.92</v>
      </c>
      <c r="W89" s="269">
        <v>49.92</v>
      </c>
      <c r="X89" s="269">
        <v>49.96</v>
      </c>
      <c r="Y89" s="269">
        <v>49.81</v>
      </c>
      <c r="Z89" s="269">
        <v>49.62</v>
      </c>
      <c r="AA89" s="269">
        <v>49.97</v>
      </c>
      <c r="AB89" s="269">
        <v>49.968000000000004</v>
      </c>
      <c r="AC89" s="269">
        <v>49.856000000000002</v>
      </c>
      <c r="AD89" s="269">
        <v>49.914000000000001</v>
      </c>
      <c r="AE89" s="269">
        <v>49.973999999999997</v>
      </c>
      <c r="AF89" s="269">
        <v>49.927</v>
      </c>
      <c r="AG89" s="270"/>
      <c r="AH89" s="226">
        <f t="shared" si="14"/>
        <v>50.05</v>
      </c>
      <c r="AI89" s="227">
        <f t="shared" si="16"/>
        <v>49.62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122.7</v>
      </c>
      <c r="C90" s="245">
        <v>123.9</v>
      </c>
      <c r="D90" s="245">
        <v>122.9</v>
      </c>
      <c r="E90" s="245">
        <v>122.9</v>
      </c>
      <c r="F90" s="245">
        <v>125.2</v>
      </c>
      <c r="G90" s="245">
        <v>125.2</v>
      </c>
      <c r="H90" s="245">
        <v>125.4</v>
      </c>
      <c r="I90" s="245">
        <v>125.2</v>
      </c>
      <c r="J90" s="245">
        <v>122.8</v>
      </c>
      <c r="K90" s="245">
        <v>122.6</v>
      </c>
      <c r="L90" s="245">
        <v>119.8</v>
      </c>
      <c r="M90" s="245">
        <v>122.5</v>
      </c>
      <c r="N90" s="245">
        <v>121.7</v>
      </c>
      <c r="O90" s="245">
        <v>121</v>
      </c>
      <c r="P90" s="245">
        <v>121.4</v>
      </c>
      <c r="Q90" s="245">
        <v>120.4</v>
      </c>
      <c r="R90" s="245">
        <v>120.4</v>
      </c>
      <c r="S90" s="245">
        <v>121.4</v>
      </c>
      <c r="T90" s="245">
        <v>123.7</v>
      </c>
      <c r="U90" s="245">
        <v>122.5</v>
      </c>
      <c r="V90" s="245">
        <v>123.7</v>
      </c>
      <c r="W90" s="245">
        <v>123.4</v>
      </c>
      <c r="X90" s="245">
        <v>124.5</v>
      </c>
      <c r="Y90" s="245">
        <v>124.2</v>
      </c>
      <c r="Z90" s="245">
        <v>122.5</v>
      </c>
      <c r="AA90" s="245">
        <v>123.9</v>
      </c>
      <c r="AB90" s="245">
        <v>125.4</v>
      </c>
      <c r="AC90" s="245">
        <v>124.2</v>
      </c>
      <c r="AD90" s="245">
        <v>123.7</v>
      </c>
      <c r="AE90" s="245">
        <v>123</v>
      </c>
      <c r="AF90" s="245">
        <v>122.7</v>
      </c>
      <c r="AG90" s="272"/>
      <c r="AH90" s="226">
        <f t="shared" si="14"/>
        <v>125.4</v>
      </c>
      <c r="AI90" s="227">
        <f t="shared" si="16"/>
        <v>119.8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128.6</v>
      </c>
      <c r="C91" s="245">
        <v>128.6</v>
      </c>
      <c r="D91" s="245">
        <v>128.19999999999999</v>
      </c>
      <c r="E91" s="245">
        <v>128.19999999999999</v>
      </c>
      <c r="F91" s="245">
        <v>129.4</v>
      </c>
      <c r="G91" s="245">
        <v>129.4</v>
      </c>
      <c r="H91" s="245">
        <v>129.6</v>
      </c>
      <c r="I91" s="245">
        <v>129.4</v>
      </c>
      <c r="J91" s="245">
        <v>125.9</v>
      </c>
      <c r="K91" s="245">
        <v>126</v>
      </c>
      <c r="L91" s="245">
        <v>124.5</v>
      </c>
      <c r="M91" s="245">
        <v>125.7</v>
      </c>
      <c r="N91" s="245">
        <v>125.2</v>
      </c>
      <c r="O91" s="245">
        <v>124.9</v>
      </c>
      <c r="P91" s="245">
        <v>125</v>
      </c>
      <c r="Q91" s="245">
        <v>124.5</v>
      </c>
      <c r="R91" s="245">
        <v>124.5</v>
      </c>
      <c r="S91" s="245">
        <v>125.4</v>
      </c>
      <c r="T91" s="245">
        <v>127.3</v>
      </c>
      <c r="U91" s="245">
        <v>126.4</v>
      </c>
      <c r="V91" s="245">
        <v>127</v>
      </c>
      <c r="W91" s="245">
        <v>127.1</v>
      </c>
      <c r="X91" s="245">
        <v>127.9</v>
      </c>
      <c r="Y91" s="245">
        <v>127.4</v>
      </c>
      <c r="Z91" s="245">
        <v>125.5</v>
      </c>
      <c r="AA91" s="245">
        <v>127.2</v>
      </c>
      <c r="AB91" s="245">
        <v>128.5</v>
      </c>
      <c r="AC91" s="245">
        <v>127.7</v>
      </c>
      <c r="AD91" s="245">
        <v>127.7</v>
      </c>
      <c r="AE91" s="245">
        <v>128</v>
      </c>
      <c r="AF91" s="245">
        <v>127.6</v>
      </c>
      <c r="AG91" s="272"/>
      <c r="AH91" s="226">
        <f t="shared" si="14"/>
        <v>129.6</v>
      </c>
      <c r="AI91" s="227">
        <f t="shared" si="16"/>
        <v>124.5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130.69999999999999</v>
      </c>
      <c r="C92" s="245">
        <v>130.69999999999999</v>
      </c>
      <c r="D92" s="245">
        <v>131.69999999999999</v>
      </c>
      <c r="E92" s="245">
        <v>131.69999999999999</v>
      </c>
      <c r="F92" s="245">
        <v>129</v>
      </c>
      <c r="G92" s="245">
        <v>129</v>
      </c>
      <c r="H92" s="245">
        <v>130</v>
      </c>
      <c r="I92" s="245">
        <v>129</v>
      </c>
      <c r="J92" s="245">
        <v>127.7</v>
      </c>
      <c r="K92" s="245">
        <v>128.30000000000001</v>
      </c>
      <c r="L92" s="245">
        <v>127.8</v>
      </c>
      <c r="M92" s="245">
        <v>129.5</v>
      </c>
      <c r="N92" s="245">
        <v>129.80000000000001</v>
      </c>
      <c r="O92" s="245">
        <v>129.4</v>
      </c>
      <c r="P92" s="245">
        <v>130.19999999999999</v>
      </c>
      <c r="Q92" s="245">
        <v>129.5</v>
      </c>
      <c r="R92" s="245">
        <v>129.5</v>
      </c>
      <c r="S92" s="245">
        <v>128.30000000000001</v>
      </c>
      <c r="T92" s="245">
        <v>128</v>
      </c>
      <c r="U92" s="245">
        <v>126.6</v>
      </c>
      <c r="V92" s="245">
        <v>129.80000000000001</v>
      </c>
      <c r="W92" s="245">
        <v>128.30000000000001</v>
      </c>
      <c r="X92" s="245">
        <v>129.69999999999999</v>
      </c>
      <c r="Y92" s="245">
        <v>128.80000000000001</v>
      </c>
      <c r="Z92" s="245">
        <v>129.80000000000001</v>
      </c>
      <c r="AA92" s="245">
        <v>128.80000000000001</v>
      </c>
      <c r="AB92" s="245">
        <v>127.6</v>
      </c>
      <c r="AC92" s="245">
        <v>129.1</v>
      </c>
      <c r="AD92" s="245">
        <v>129.30000000000001</v>
      </c>
      <c r="AE92" s="245">
        <v>128</v>
      </c>
      <c r="AF92" s="245">
        <v>128.9</v>
      </c>
      <c r="AG92" s="272"/>
      <c r="AH92" s="226">
        <f t="shared" si="14"/>
        <v>131.69999999999999</v>
      </c>
      <c r="AI92" s="227">
        <f t="shared" si="16"/>
        <v>126.6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133.80000000000001</v>
      </c>
      <c r="C93" s="245">
        <v>133.80000000000001</v>
      </c>
      <c r="D93" s="245">
        <v>134.9</v>
      </c>
      <c r="E93" s="245">
        <v>134.9</v>
      </c>
      <c r="F93" s="245">
        <v>132.4</v>
      </c>
      <c r="G93" s="245">
        <v>132.4</v>
      </c>
      <c r="H93" s="245">
        <v>132.5</v>
      </c>
      <c r="I93" s="245">
        <v>132.4</v>
      </c>
      <c r="J93" s="245">
        <v>131</v>
      </c>
      <c r="K93" s="245">
        <v>130.69999999999999</v>
      </c>
      <c r="L93" s="245">
        <v>132.1</v>
      </c>
      <c r="M93" s="245">
        <v>134.6</v>
      </c>
      <c r="N93" s="245">
        <v>134.1</v>
      </c>
      <c r="O93" s="245">
        <v>133.4</v>
      </c>
      <c r="P93" s="245">
        <v>134.19999999999999</v>
      </c>
      <c r="Q93" s="245">
        <v>133.80000000000001</v>
      </c>
      <c r="R93" s="245">
        <v>133.80000000000001</v>
      </c>
      <c r="S93" s="245">
        <v>133.80000000000001</v>
      </c>
      <c r="T93" s="245">
        <v>131.1</v>
      </c>
      <c r="U93" s="245">
        <v>130.6</v>
      </c>
      <c r="V93" s="245">
        <v>133.30000000000001</v>
      </c>
      <c r="W93" s="245">
        <v>132</v>
      </c>
      <c r="X93" s="245">
        <v>133.19999999999999</v>
      </c>
      <c r="Y93" s="245">
        <v>132.5</v>
      </c>
      <c r="Z93" s="245">
        <v>132.5</v>
      </c>
      <c r="AA93" s="245">
        <v>132</v>
      </c>
      <c r="AB93" s="245">
        <v>132</v>
      </c>
      <c r="AC93" s="245">
        <v>132.80000000000001</v>
      </c>
      <c r="AD93" s="245">
        <v>133.30000000000001</v>
      </c>
      <c r="AE93" s="245">
        <v>132.6</v>
      </c>
      <c r="AF93" s="245">
        <v>133.30000000000001</v>
      </c>
      <c r="AG93" s="272"/>
      <c r="AH93" s="226">
        <f t="shared" si="14"/>
        <v>134.9</v>
      </c>
      <c r="AI93" s="227">
        <f t="shared" si="16"/>
        <v>130.6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133.4</v>
      </c>
      <c r="C94" s="274">
        <v>133.4</v>
      </c>
      <c r="D94" s="274">
        <v>133.5</v>
      </c>
      <c r="E94" s="274">
        <v>133.5</v>
      </c>
      <c r="F94" s="274">
        <v>134.19999999999999</v>
      </c>
      <c r="G94" s="274">
        <v>134.19999999999999</v>
      </c>
      <c r="H94" s="274">
        <v>133</v>
      </c>
      <c r="I94" s="274">
        <v>134.19999999999999</v>
      </c>
      <c r="J94" s="274">
        <v>130.69999999999999</v>
      </c>
      <c r="K94" s="274">
        <v>130.6</v>
      </c>
      <c r="L94" s="274">
        <v>134.30000000000001</v>
      </c>
      <c r="M94" s="274">
        <v>134.80000000000001</v>
      </c>
      <c r="N94" s="274">
        <v>133</v>
      </c>
      <c r="O94" s="274">
        <v>129.6</v>
      </c>
      <c r="P94" s="274">
        <v>131.69999999999999</v>
      </c>
      <c r="Q94" s="274">
        <v>131.19999999999999</v>
      </c>
      <c r="R94" s="274">
        <v>131.19999999999999</v>
      </c>
      <c r="S94" s="274">
        <v>131.19999999999999</v>
      </c>
      <c r="T94" s="274">
        <v>132.4</v>
      </c>
      <c r="U94" s="274">
        <v>131.19999999999999</v>
      </c>
      <c r="V94" s="274">
        <v>133.4</v>
      </c>
      <c r="W94" s="274">
        <v>133.6</v>
      </c>
      <c r="X94" s="274">
        <v>135</v>
      </c>
      <c r="Y94" s="274">
        <v>132.30000000000001</v>
      </c>
      <c r="Z94" s="274">
        <v>132.30000000000001</v>
      </c>
      <c r="AA94" s="274">
        <v>132.5</v>
      </c>
      <c r="AB94" s="274">
        <v>134</v>
      </c>
      <c r="AC94" s="274">
        <v>132.1</v>
      </c>
      <c r="AD94" s="274">
        <v>132.69999999999999</v>
      </c>
      <c r="AE94" s="274">
        <v>130.80000000000001</v>
      </c>
      <c r="AF94" s="274">
        <v>130.19999999999999</v>
      </c>
      <c r="AG94" s="275"/>
      <c r="AH94" s="226">
        <f t="shared" si="14"/>
        <v>135</v>
      </c>
      <c r="AI94" s="227">
        <f t="shared" si="16"/>
        <v>129.6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130.69999999999999</v>
      </c>
      <c r="C95" s="245">
        <v>130.69999999999999</v>
      </c>
      <c r="D95" s="245">
        <v>133.1</v>
      </c>
      <c r="E95" s="245">
        <v>133.1</v>
      </c>
      <c r="F95" s="245">
        <v>134.30000000000001</v>
      </c>
      <c r="G95" s="245">
        <v>134.30000000000001</v>
      </c>
      <c r="H95" s="245">
        <v>134.30000000000001</v>
      </c>
      <c r="I95" s="245">
        <v>134.30000000000001</v>
      </c>
      <c r="J95" s="245">
        <v>130.4</v>
      </c>
      <c r="K95" s="245">
        <v>132.69999999999999</v>
      </c>
      <c r="L95" s="245">
        <v>134.80000000000001</v>
      </c>
      <c r="M95" s="245">
        <v>138.5</v>
      </c>
      <c r="N95" s="245">
        <v>135.5</v>
      </c>
      <c r="O95" s="245">
        <v>134.5</v>
      </c>
      <c r="P95" s="245">
        <v>133.4</v>
      </c>
      <c r="Q95" s="245">
        <v>132.1</v>
      </c>
      <c r="R95" s="245">
        <v>132.1</v>
      </c>
      <c r="S95" s="245">
        <v>128.19999999999999</v>
      </c>
      <c r="T95" s="245">
        <v>130.9</v>
      </c>
      <c r="U95" s="245">
        <v>131.4</v>
      </c>
      <c r="V95" s="245">
        <v>133.1</v>
      </c>
      <c r="W95" s="245">
        <v>133.4</v>
      </c>
      <c r="X95" s="245">
        <v>136</v>
      </c>
      <c r="Y95" s="245">
        <v>132.30000000000001</v>
      </c>
      <c r="Z95" s="245">
        <v>132.30000000000001</v>
      </c>
      <c r="AA95" s="245">
        <v>133.30000000000001</v>
      </c>
      <c r="AB95" s="245">
        <v>134</v>
      </c>
      <c r="AC95" s="245">
        <v>131.6</v>
      </c>
      <c r="AD95" s="245">
        <v>131</v>
      </c>
      <c r="AE95" s="245">
        <v>129.69999999999999</v>
      </c>
      <c r="AF95" s="245">
        <v>129.6</v>
      </c>
      <c r="AG95" s="272"/>
      <c r="AH95" s="226">
        <f t="shared" si="14"/>
        <v>138.5</v>
      </c>
      <c r="AI95" s="227">
        <f t="shared" si="16"/>
        <v>128.19999999999999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65.3</v>
      </c>
      <c r="C96" s="276">
        <v>65.3</v>
      </c>
      <c r="D96" s="276">
        <v>65.099999999999994</v>
      </c>
      <c r="E96" s="276">
        <v>65.099999999999994</v>
      </c>
      <c r="F96" s="276">
        <v>65.8</v>
      </c>
      <c r="G96" s="276">
        <v>65.8</v>
      </c>
      <c r="H96" s="276">
        <v>65</v>
      </c>
      <c r="I96" s="276">
        <v>65.2</v>
      </c>
      <c r="J96" s="276">
        <v>64</v>
      </c>
      <c r="K96" s="276">
        <v>64.2</v>
      </c>
      <c r="L96" s="276">
        <v>63.9</v>
      </c>
      <c r="M96" s="276">
        <v>63.9</v>
      </c>
      <c r="N96" s="276">
        <v>63.3</v>
      </c>
      <c r="O96" s="276">
        <v>63.1</v>
      </c>
      <c r="P96" s="276">
        <v>63</v>
      </c>
      <c r="Q96" s="276">
        <v>63.1</v>
      </c>
      <c r="R96" s="276">
        <v>63.1</v>
      </c>
      <c r="S96" s="276">
        <v>63.2</v>
      </c>
      <c r="T96" s="276">
        <v>64.400000000000006</v>
      </c>
      <c r="U96" s="276">
        <v>63.6</v>
      </c>
      <c r="V96" s="276">
        <v>64.400000000000006</v>
      </c>
      <c r="W96" s="276">
        <v>64.3</v>
      </c>
      <c r="X96" s="276">
        <v>64.7</v>
      </c>
      <c r="Y96" s="276">
        <v>64.3</v>
      </c>
      <c r="Z96" s="276">
        <v>64.400000000000006</v>
      </c>
      <c r="AA96" s="276">
        <v>64.5</v>
      </c>
      <c r="AB96" s="276">
        <v>65.400000000000006</v>
      </c>
      <c r="AC96" s="276">
        <v>64.8</v>
      </c>
      <c r="AD96" s="276">
        <v>65</v>
      </c>
      <c r="AE96" s="276">
        <v>64.900000000000006</v>
      </c>
      <c r="AF96" s="276">
        <v>64.599999999999994</v>
      </c>
      <c r="AG96" s="277"/>
      <c r="AH96" s="226">
        <f t="shared" si="14"/>
        <v>65.8</v>
      </c>
      <c r="AI96" s="227">
        <f t="shared" si="16"/>
        <v>63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4"/>
        <v>0</v>
      </c>
      <c r="AI97" s="227">
        <f t="shared" si="16"/>
        <v>0</v>
      </c>
    </row>
    <row r="98" spans="1:37" ht="15.75" thickBot="1" x14ac:dyDescent="0.3">
      <c r="A98" s="279" t="s">
        <v>102</v>
      </c>
      <c r="B98" s="280">
        <f>SUM(B15,B18,B21:B22,B46,B48:B49,B51,B53,B99:B102,B124,B130,B136,B145,B147,B159,B166,B169:B170,B177,B179,B181,B185:B187,B189:B191,B196,B202:B203,B205:B207,B215,B220)</f>
        <v>110.80000000000001</v>
      </c>
      <c r="C98" s="280">
        <f t="shared" ref="C98:AF98" si="23">SUM(C15,C18,C21:C22,C46,C48:C49,C51,C53,C99:C102,C124,C130,C136,C145,C147,C159,C166,C169:C170,C177,C179,C181,C185:C187,C189:C191,C196,C202:C203,C205:C207,C215,C220)</f>
        <v>52.440000000000005</v>
      </c>
      <c r="D98" s="280">
        <f t="shared" si="23"/>
        <v>64.639999999999986</v>
      </c>
      <c r="E98" s="280">
        <f t="shared" si="23"/>
        <v>17.940000000000012</v>
      </c>
      <c r="F98" s="280">
        <f t="shared" si="23"/>
        <v>33.940000000000012</v>
      </c>
      <c r="G98" s="280">
        <f t="shared" si="23"/>
        <v>55.239999999999966</v>
      </c>
      <c r="H98" s="280">
        <f t="shared" si="23"/>
        <v>55.239999999999966</v>
      </c>
      <c r="I98" s="280">
        <f t="shared" si="23"/>
        <v>93.239999999999966</v>
      </c>
      <c r="J98" s="280">
        <f t="shared" si="23"/>
        <v>129.63999999999999</v>
      </c>
      <c r="K98" s="280">
        <f t="shared" si="23"/>
        <v>160.44</v>
      </c>
      <c r="L98" s="280">
        <f t="shared" si="23"/>
        <v>187.94</v>
      </c>
      <c r="M98" s="280">
        <f t="shared" si="23"/>
        <v>171.24</v>
      </c>
      <c r="N98" s="280">
        <f t="shared" si="23"/>
        <v>123.94000000000001</v>
      </c>
      <c r="O98" s="280">
        <f t="shared" si="23"/>
        <v>201.04</v>
      </c>
      <c r="P98" s="280">
        <f t="shared" si="23"/>
        <v>193.63999999999996</v>
      </c>
      <c r="Q98" s="280">
        <f t="shared" si="23"/>
        <v>186.8</v>
      </c>
      <c r="R98" s="280">
        <f t="shared" si="23"/>
        <v>186.8</v>
      </c>
      <c r="S98" s="280">
        <f t="shared" si="23"/>
        <v>171.60000000000002</v>
      </c>
      <c r="T98" s="280">
        <f t="shared" si="23"/>
        <v>166.1</v>
      </c>
      <c r="U98" s="280">
        <f t="shared" si="23"/>
        <v>209.2</v>
      </c>
      <c r="V98" s="280">
        <f t="shared" si="23"/>
        <v>169.59999999999997</v>
      </c>
      <c r="W98" s="280">
        <f t="shared" si="23"/>
        <v>168.29999999999995</v>
      </c>
      <c r="X98" s="280">
        <f t="shared" si="23"/>
        <v>156.69999999999999</v>
      </c>
      <c r="Y98" s="280">
        <f t="shared" si="23"/>
        <v>178.60000000000002</v>
      </c>
      <c r="Z98" s="280">
        <f t="shared" si="23"/>
        <v>223.2</v>
      </c>
      <c r="AA98" s="280">
        <f t="shared" si="23"/>
        <v>206.1</v>
      </c>
      <c r="AB98" s="280">
        <f t="shared" si="23"/>
        <v>201.4</v>
      </c>
      <c r="AC98" s="280">
        <f t="shared" si="23"/>
        <v>183.50000000000003</v>
      </c>
      <c r="AD98" s="280">
        <f t="shared" si="23"/>
        <v>164.20000000000002</v>
      </c>
      <c r="AE98" s="280">
        <f t="shared" si="23"/>
        <v>107.69999999999999</v>
      </c>
      <c r="AF98" s="280">
        <f t="shared" si="23"/>
        <v>81.3</v>
      </c>
      <c r="AG98" s="281"/>
      <c r="AH98" s="226">
        <f>MAX(C98:AF98)</f>
        <v>223.2</v>
      </c>
      <c r="AI98" s="227">
        <f>MIN(C98:AF98)</f>
        <v>17.940000000000012</v>
      </c>
    </row>
    <row r="99" spans="1:37" x14ac:dyDescent="0.25">
      <c r="A99" s="268" t="s">
        <v>103</v>
      </c>
      <c r="B99" s="282">
        <v>45</v>
      </c>
      <c r="C99" s="282">
        <f>25.3+11.6</f>
        <v>36.9</v>
      </c>
      <c r="D99" s="282">
        <f>31.6+13.8</f>
        <v>45.400000000000006</v>
      </c>
      <c r="E99" s="282">
        <v>13.8</v>
      </c>
      <c r="F99" s="282">
        <v>13.8</v>
      </c>
      <c r="G99" s="282">
        <v>5.5</v>
      </c>
      <c r="H99" s="282">
        <v>5.5</v>
      </c>
      <c r="I99" s="282">
        <v>15</v>
      </c>
      <c r="J99" s="282">
        <v>14.8</v>
      </c>
      <c r="K99" s="282">
        <v>20.399999999999999</v>
      </c>
      <c r="L99" s="282">
        <v>30</v>
      </c>
      <c r="M99" s="282">
        <v>29</v>
      </c>
      <c r="N99" s="282">
        <v>19.899999999999999</v>
      </c>
      <c r="O99" s="282">
        <v>36.799999999999997</v>
      </c>
      <c r="P99" s="282">
        <v>36.6</v>
      </c>
      <c r="Q99" s="282">
        <v>36.5</v>
      </c>
      <c r="R99" s="282">
        <v>36.5</v>
      </c>
      <c r="S99" s="282">
        <v>33.200000000000003</v>
      </c>
      <c r="T99" s="282">
        <v>32.299999999999997</v>
      </c>
      <c r="U99" s="282">
        <v>29.8</v>
      </c>
      <c r="V99" s="282">
        <v>39.299999999999997</v>
      </c>
      <c r="W99" s="282">
        <v>37.799999999999997</v>
      </c>
      <c r="X99" s="282">
        <v>34.299999999999997</v>
      </c>
      <c r="Y99" s="282">
        <v>29.8</v>
      </c>
      <c r="Z99" s="282">
        <v>34.9</v>
      </c>
      <c r="AA99" s="282">
        <v>23.7</v>
      </c>
      <c r="AB99" s="282">
        <v>29.5</v>
      </c>
      <c r="AC99" s="282">
        <v>31.8</v>
      </c>
      <c r="AD99" s="282">
        <v>29.8</v>
      </c>
      <c r="AE99" s="282">
        <v>31</v>
      </c>
      <c r="AF99" s="282">
        <v>13.2</v>
      </c>
      <c r="AG99" s="283">
        <v>75</v>
      </c>
      <c r="AH99" s="226">
        <f t="shared" ref="AH99:AH106" si="24">IF(ABS(MAX(C99:AF99))&gt;ABS(MIN(C99:AF99)),MAX(C99:AF99),MIN(C99:AF99))</f>
        <v>45.400000000000006</v>
      </c>
      <c r="AI99" s="284">
        <f t="shared" ref="AI99:AI106" si="25">INDEX($C$9:$AF$9,1,MATCH(AH99,C99:AF99,0))</f>
        <v>8.3333333333333301E-2</v>
      </c>
    </row>
    <row r="100" spans="1:37" x14ac:dyDescent="0.25">
      <c r="A100" s="271" t="s">
        <v>104</v>
      </c>
      <c r="B100" s="285">
        <v>-112</v>
      </c>
      <c r="C100" s="285">
        <f>-74.3-78.8</f>
        <v>-153.1</v>
      </c>
      <c r="D100" s="285">
        <f>-72.9-77</f>
        <v>-149.9</v>
      </c>
      <c r="E100" s="285">
        <v>-147</v>
      </c>
      <c r="F100" s="285">
        <v>-135</v>
      </c>
      <c r="G100" s="285">
        <v>-119</v>
      </c>
      <c r="H100" s="285">
        <v>-119</v>
      </c>
      <c r="I100" s="285">
        <v>-95</v>
      </c>
      <c r="J100" s="285">
        <v>-60</v>
      </c>
      <c r="K100" s="285">
        <v>-50</v>
      </c>
      <c r="L100" s="285">
        <v>-58</v>
      </c>
      <c r="M100" s="285">
        <v>-60.5</v>
      </c>
      <c r="N100" s="285">
        <v>-92.5</v>
      </c>
      <c r="O100" s="285">
        <v>-97.9</v>
      </c>
      <c r="P100" s="285">
        <v>-100.8</v>
      </c>
      <c r="Q100" s="285">
        <v>-102.8</v>
      </c>
      <c r="R100" s="285">
        <v>-102.8</v>
      </c>
      <c r="S100" s="285">
        <f>-52.2-55.7</f>
        <v>-107.9</v>
      </c>
      <c r="T100" s="285">
        <f>-62.3-52.3</f>
        <v>-114.6</v>
      </c>
      <c r="U100" s="285">
        <f>-42.9-46.1</f>
        <v>-89</v>
      </c>
      <c r="V100" s="285">
        <f>-54.1-51.8</f>
        <v>-105.9</v>
      </c>
      <c r="W100" s="285">
        <f>-54.6-52.3</f>
        <v>-106.9</v>
      </c>
      <c r="X100" s="285">
        <f>-47.2-50.4</f>
        <v>-97.6</v>
      </c>
      <c r="Y100" s="285">
        <f>-42.2-45.5</f>
        <v>-87.7</v>
      </c>
      <c r="Z100" s="285">
        <f>-36.1-38.8</f>
        <v>-74.900000000000006</v>
      </c>
      <c r="AA100" s="285">
        <f>-43.2-40</f>
        <v>-83.2</v>
      </c>
      <c r="AB100" s="285">
        <f>-44-47</f>
        <v>-91</v>
      </c>
      <c r="AC100" s="285">
        <f>-48-51</f>
        <v>-99</v>
      </c>
      <c r="AD100" s="285">
        <f>-52.9-56.6</f>
        <v>-109.5</v>
      </c>
      <c r="AE100" s="285">
        <f>-56.2-60.1</f>
        <v>-116.30000000000001</v>
      </c>
      <c r="AF100" s="285">
        <f>-60-64</f>
        <v>-124</v>
      </c>
      <c r="AG100" s="283">
        <v>240</v>
      </c>
      <c r="AH100" s="226">
        <f t="shared" si="24"/>
        <v>-153.1</v>
      </c>
      <c r="AI100" s="284">
        <f t="shared" si="25"/>
        <v>4.1666666666666664E-2</v>
      </c>
    </row>
    <row r="101" spans="1:37" x14ac:dyDescent="0.25">
      <c r="A101" s="271" t="s">
        <v>105</v>
      </c>
      <c r="B101" s="285">
        <v>1.5</v>
      </c>
      <c r="C101" s="285">
        <v>-8.9</v>
      </c>
      <c r="D101" s="285">
        <v>-8.4</v>
      </c>
      <c r="E101" s="285">
        <v>-11.3</v>
      </c>
      <c r="F101" s="285">
        <v>-7.3</v>
      </c>
      <c r="G101" s="285">
        <v>-3.7</v>
      </c>
      <c r="H101" s="285">
        <v>-3.7</v>
      </c>
      <c r="I101" s="285">
        <v>0.8</v>
      </c>
      <c r="J101" s="285">
        <v>2.4</v>
      </c>
      <c r="K101" s="285">
        <v>9.1</v>
      </c>
      <c r="L101" s="285">
        <v>12.2</v>
      </c>
      <c r="M101" s="285">
        <v>11.5</v>
      </c>
      <c r="N101" s="285">
        <v>5.3</v>
      </c>
      <c r="O101" s="285">
        <v>6.9</v>
      </c>
      <c r="P101" s="285">
        <v>7.2</v>
      </c>
      <c r="Q101" s="285">
        <v>5.6</v>
      </c>
      <c r="R101" s="285">
        <v>5.6</v>
      </c>
      <c r="S101" s="285">
        <v>5.3</v>
      </c>
      <c r="T101" s="285">
        <v>17.899999999999999</v>
      </c>
      <c r="U101" s="285">
        <v>10.7</v>
      </c>
      <c r="V101" s="285">
        <v>6.4</v>
      </c>
      <c r="W101" s="285">
        <v>5.5</v>
      </c>
      <c r="X101" s="285">
        <v>9.6999999999999993</v>
      </c>
      <c r="Y101" s="285">
        <v>11.2</v>
      </c>
      <c r="Z101" s="285">
        <v>19.600000000000001</v>
      </c>
      <c r="AA101" s="285">
        <v>10.199999999999999</v>
      </c>
      <c r="AB101" s="285">
        <v>8</v>
      </c>
      <c r="AC101" s="285">
        <v>6.4</v>
      </c>
      <c r="AD101" s="285">
        <v>2.5</v>
      </c>
      <c r="AE101" s="285">
        <v>-0.9</v>
      </c>
      <c r="AF101" s="285">
        <v>-1.8</v>
      </c>
      <c r="AG101" s="283">
        <v>60</v>
      </c>
      <c r="AH101" s="226">
        <f t="shared" si="24"/>
        <v>19.600000000000001</v>
      </c>
      <c r="AI101" s="284">
        <f t="shared" si="25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51.1</v>
      </c>
      <c r="P102" s="287">
        <v>48.4</v>
      </c>
      <c r="Q102" s="287">
        <v>49.4</v>
      </c>
      <c r="R102" s="287">
        <v>49.4</v>
      </c>
      <c r="S102" s="287">
        <v>42.9</v>
      </c>
      <c r="T102" s="287">
        <v>32.4</v>
      </c>
      <c r="U102" s="287">
        <v>59.6</v>
      </c>
      <c r="V102" s="287">
        <v>31.7</v>
      </c>
      <c r="W102" s="287">
        <v>33.799999999999997</v>
      </c>
      <c r="X102" s="287">
        <v>32.200000000000003</v>
      </c>
      <c r="Y102" s="287">
        <v>47.2</v>
      </c>
      <c r="Z102" s="287">
        <v>64.8</v>
      </c>
      <c r="AA102" s="287">
        <v>76.599999999999994</v>
      </c>
      <c r="AB102" s="287">
        <v>61</v>
      </c>
      <c r="AC102" s="287">
        <v>50.4</v>
      </c>
      <c r="AD102" s="287">
        <v>47.5</v>
      </c>
      <c r="AE102" s="287">
        <v>0</v>
      </c>
      <c r="AF102" s="287">
        <v>0</v>
      </c>
      <c r="AG102" s="288">
        <v>120</v>
      </c>
      <c r="AH102" s="226">
        <f t="shared" si="24"/>
        <v>76.599999999999994</v>
      </c>
      <c r="AI102" s="284">
        <f t="shared" si="25"/>
        <v>0.8125</v>
      </c>
    </row>
    <row r="103" spans="1:37" x14ac:dyDescent="0.25">
      <c r="A103" s="286" t="s">
        <v>107</v>
      </c>
      <c r="B103" s="287">
        <v>49.2</v>
      </c>
      <c r="C103" s="287">
        <v>34.6</v>
      </c>
      <c r="D103" s="287">
        <v>37.1</v>
      </c>
      <c r="E103" s="287">
        <v>35.299999999999997</v>
      </c>
      <c r="F103" s="287">
        <v>32.4</v>
      </c>
      <c r="G103" s="287">
        <v>46.7</v>
      </c>
      <c r="H103" s="287">
        <v>46.7</v>
      </c>
      <c r="I103" s="287">
        <v>44.3</v>
      </c>
      <c r="J103" s="287">
        <v>74.400000000000006</v>
      </c>
      <c r="K103" s="287">
        <v>71.3</v>
      </c>
      <c r="L103" s="287">
        <v>77.400000000000006</v>
      </c>
      <c r="M103" s="287">
        <v>69</v>
      </c>
      <c r="N103" s="287">
        <v>53.9</v>
      </c>
      <c r="O103" s="287">
        <v>51.6</v>
      </c>
      <c r="P103" s="287">
        <v>53</v>
      </c>
      <c r="Q103" s="287">
        <v>54.8</v>
      </c>
      <c r="R103" s="287">
        <v>54.8</v>
      </c>
      <c r="S103" s="287">
        <v>49.3</v>
      </c>
      <c r="T103" s="287">
        <v>40.1</v>
      </c>
      <c r="U103" s="287">
        <v>61.2</v>
      </c>
      <c r="V103" s="287">
        <v>34.1</v>
      </c>
      <c r="W103" s="287">
        <v>38.9</v>
      </c>
      <c r="X103" s="287">
        <v>35</v>
      </c>
      <c r="Y103" s="287">
        <v>47.7</v>
      </c>
      <c r="Z103" s="287">
        <v>60</v>
      </c>
      <c r="AA103" s="287">
        <v>70.3</v>
      </c>
      <c r="AB103" s="287">
        <v>58</v>
      </c>
      <c r="AC103" s="287">
        <v>50</v>
      </c>
      <c r="AD103" s="287">
        <v>50</v>
      </c>
      <c r="AE103" s="287">
        <v>52</v>
      </c>
      <c r="AF103" s="287">
        <v>59</v>
      </c>
      <c r="AG103" s="288"/>
      <c r="AH103" s="226">
        <f t="shared" si="24"/>
        <v>77.400000000000006</v>
      </c>
      <c r="AI103" s="284">
        <f t="shared" si="25"/>
        <v>0.3125</v>
      </c>
    </row>
    <row r="104" spans="1:37" x14ac:dyDescent="0.25">
      <c r="A104" s="286" t="s">
        <v>108</v>
      </c>
      <c r="B104" s="287">
        <v>72</v>
      </c>
      <c r="C104" s="287">
        <v>67.3</v>
      </c>
      <c r="D104" s="287">
        <v>52</v>
      </c>
      <c r="E104" s="287">
        <v>44.3</v>
      </c>
      <c r="F104" s="287">
        <v>35.799999999999997</v>
      </c>
      <c r="G104" s="287">
        <v>13.8</v>
      </c>
      <c r="H104" s="287">
        <v>13.8</v>
      </c>
      <c r="I104" s="287">
        <v>-1.2</v>
      </c>
      <c r="J104" s="287">
        <v>5.8</v>
      </c>
      <c r="K104" s="287">
        <v>-14.2</v>
      </c>
      <c r="L104" s="287">
        <v>-39.4</v>
      </c>
      <c r="M104" s="287">
        <v>-55.1</v>
      </c>
      <c r="N104" s="287">
        <v>22.5</v>
      </c>
      <c r="O104" s="287">
        <v>-8</v>
      </c>
      <c r="P104" s="287">
        <v>-2.2000000000000002</v>
      </c>
      <c r="Q104" s="287">
        <v>-6.3</v>
      </c>
      <c r="R104" s="287">
        <v>-6.3</v>
      </c>
      <c r="S104" s="287">
        <v>-4.4000000000000004</v>
      </c>
      <c r="T104" s="287">
        <v>-3.2</v>
      </c>
      <c r="U104" s="287">
        <v>17.3</v>
      </c>
      <c r="V104" s="287">
        <v>-14.9</v>
      </c>
      <c r="W104" s="287">
        <v>-13.6</v>
      </c>
      <c r="X104" s="287">
        <v>-31.8</v>
      </c>
      <c r="Y104" s="287">
        <v>1.5</v>
      </c>
      <c r="Z104" s="287">
        <v>-6.2</v>
      </c>
      <c r="AA104" s="287">
        <v>-43.1</v>
      </c>
      <c r="AB104" s="287">
        <v>29.4</v>
      </c>
      <c r="AC104" s="287">
        <v>12.1</v>
      </c>
      <c r="AD104" s="287">
        <v>17</v>
      </c>
      <c r="AE104" s="287">
        <v>7</v>
      </c>
      <c r="AF104" s="287">
        <v>63</v>
      </c>
      <c r="AG104" s="289"/>
      <c r="AH104" s="226">
        <f t="shared" si="24"/>
        <v>67.3</v>
      </c>
      <c r="AI104" s="284">
        <f t="shared" si="25"/>
        <v>4.1666666666666664E-2</v>
      </c>
    </row>
    <row r="105" spans="1:37" x14ac:dyDescent="0.25">
      <c r="A105" s="290" t="s">
        <v>109</v>
      </c>
      <c r="B105" s="274">
        <v>116</v>
      </c>
      <c r="C105" s="274">
        <v>117.9</v>
      </c>
      <c r="D105" s="274">
        <v>120.1</v>
      </c>
      <c r="E105" s="274">
        <v>115.4</v>
      </c>
      <c r="F105" s="274">
        <v>119.6</v>
      </c>
      <c r="G105" s="274">
        <v>119.4</v>
      </c>
      <c r="H105" s="274">
        <v>119.4</v>
      </c>
      <c r="I105" s="274">
        <v>114.7</v>
      </c>
      <c r="J105" s="274">
        <v>121.2</v>
      </c>
      <c r="K105" s="274">
        <v>120.2</v>
      </c>
      <c r="L105" s="274">
        <v>114.7</v>
      </c>
      <c r="M105" s="274">
        <v>123</v>
      </c>
      <c r="N105" s="274">
        <v>122.3</v>
      </c>
      <c r="O105" s="274">
        <v>121.2</v>
      </c>
      <c r="P105" s="274">
        <v>123.5</v>
      </c>
      <c r="Q105" s="274">
        <v>121.3</v>
      </c>
      <c r="R105" s="274">
        <v>121.3</v>
      </c>
      <c r="S105" s="274">
        <v>114.7</v>
      </c>
      <c r="T105" s="274">
        <v>114.7</v>
      </c>
      <c r="U105" s="274">
        <v>79.099999999999994</v>
      </c>
      <c r="V105" s="274">
        <v>108</v>
      </c>
      <c r="W105" s="274">
        <v>88.3</v>
      </c>
      <c r="X105" s="274">
        <v>107</v>
      </c>
      <c r="Y105" s="274">
        <v>95.7</v>
      </c>
      <c r="Z105" s="274">
        <v>87.7</v>
      </c>
      <c r="AA105" s="274">
        <v>97.4</v>
      </c>
      <c r="AB105" s="274">
        <v>98</v>
      </c>
      <c r="AC105" s="274">
        <v>98.5</v>
      </c>
      <c r="AD105" s="274">
        <v>100</v>
      </c>
      <c r="AE105" s="274">
        <v>104</v>
      </c>
      <c r="AF105" s="274">
        <v>107.2</v>
      </c>
      <c r="AG105" s="289"/>
      <c r="AH105" s="226">
        <f t="shared" si="24"/>
        <v>123.5</v>
      </c>
      <c r="AI105" s="284">
        <f t="shared" si="25"/>
        <v>0.45833333333333298</v>
      </c>
    </row>
    <row r="106" spans="1:37" ht="15.75" thickBot="1" x14ac:dyDescent="0.3">
      <c r="A106" s="290" t="s">
        <v>110</v>
      </c>
      <c r="B106" s="274">
        <v>86</v>
      </c>
      <c r="C106" s="274">
        <v>91.2</v>
      </c>
      <c r="D106" s="274">
        <v>91.9</v>
      </c>
      <c r="E106" s="274">
        <v>93</v>
      </c>
      <c r="F106" s="274">
        <v>89</v>
      </c>
      <c r="G106" s="274">
        <v>73.3</v>
      </c>
      <c r="H106" s="274">
        <v>73.3</v>
      </c>
      <c r="I106" s="274">
        <v>61.9</v>
      </c>
      <c r="J106" s="274">
        <v>36.1</v>
      </c>
      <c r="K106" s="274">
        <v>34.799999999999997</v>
      </c>
      <c r="L106" s="274">
        <v>42.9</v>
      </c>
      <c r="M106" s="274">
        <v>47.9</v>
      </c>
      <c r="N106" s="274">
        <v>59.5</v>
      </c>
      <c r="O106" s="274">
        <v>63.5</v>
      </c>
      <c r="P106" s="274">
        <v>61.6</v>
      </c>
      <c r="Q106" s="274">
        <v>64.900000000000006</v>
      </c>
      <c r="R106" s="274">
        <v>64.900000000000006</v>
      </c>
      <c r="S106" s="274">
        <v>68.5</v>
      </c>
      <c r="T106" s="274">
        <v>68.5</v>
      </c>
      <c r="U106" s="274">
        <v>56.4</v>
      </c>
      <c r="V106" s="274">
        <v>70.099999999999994</v>
      </c>
      <c r="W106" s="274">
        <v>71.400000000000006</v>
      </c>
      <c r="X106" s="274">
        <v>68.2</v>
      </c>
      <c r="Y106" s="274">
        <v>56.2</v>
      </c>
      <c r="Z106" s="274">
        <v>52.8</v>
      </c>
      <c r="AA106" s="274">
        <v>46.7</v>
      </c>
      <c r="AB106" s="274">
        <v>56</v>
      </c>
      <c r="AC106" s="274">
        <v>65</v>
      </c>
      <c r="AD106" s="274">
        <v>68.3</v>
      </c>
      <c r="AE106" s="274">
        <v>80.099999999999994</v>
      </c>
      <c r="AF106" s="274">
        <v>72.3</v>
      </c>
      <c r="AG106" s="289"/>
      <c r="AH106" s="226">
        <f t="shared" si="24"/>
        <v>93</v>
      </c>
      <c r="AI106" s="284">
        <f t="shared" si="25"/>
        <v>0.125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6">SUM(C108:C212)</f>
        <v>0</v>
      </c>
      <c r="D213" s="307">
        <f t="shared" si="26"/>
        <v>0</v>
      </c>
      <c r="E213" s="307">
        <f t="shared" si="26"/>
        <v>0</v>
      </c>
      <c r="F213" s="307">
        <f t="shared" si="26"/>
        <v>0</v>
      </c>
      <c r="G213" s="307">
        <f t="shared" si="26"/>
        <v>0</v>
      </c>
      <c r="H213" s="307">
        <f t="shared" si="26"/>
        <v>0</v>
      </c>
      <c r="I213" s="307">
        <f t="shared" si="26"/>
        <v>0</v>
      </c>
      <c r="J213" s="307">
        <f t="shared" si="26"/>
        <v>0</v>
      </c>
      <c r="K213" s="307">
        <f t="shared" si="26"/>
        <v>0</v>
      </c>
      <c r="L213" s="307">
        <f t="shared" si="26"/>
        <v>0</v>
      </c>
      <c r="M213" s="307">
        <f t="shared" si="26"/>
        <v>0</v>
      </c>
      <c r="N213" s="307">
        <f t="shared" si="26"/>
        <v>0</v>
      </c>
      <c r="O213" s="307">
        <f t="shared" si="26"/>
        <v>0</v>
      </c>
      <c r="P213" s="307">
        <f t="shared" si="26"/>
        <v>0</v>
      </c>
      <c r="Q213" s="307">
        <f t="shared" si="26"/>
        <v>0</v>
      </c>
      <c r="R213" s="307">
        <f t="shared" si="26"/>
        <v>0</v>
      </c>
      <c r="S213" s="307">
        <f t="shared" si="26"/>
        <v>0</v>
      </c>
      <c r="T213" s="307">
        <f t="shared" si="26"/>
        <v>0</v>
      </c>
      <c r="U213" s="307">
        <f t="shared" si="26"/>
        <v>0</v>
      </c>
      <c r="V213" s="307">
        <f t="shared" si="26"/>
        <v>0</v>
      </c>
      <c r="W213" s="307">
        <f t="shared" si="26"/>
        <v>0</v>
      </c>
      <c r="X213" s="307">
        <f t="shared" si="26"/>
        <v>0</v>
      </c>
      <c r="Y213" s="307">
        <f t="shared" si="26"/>
        <v>0</v>
      </c>
      <c r="Z213" s="307">
        <f t="shared" si="26"/>
        <v>0</v>
      </c>
      <c r="AA213" s="307">
        <f t="shared" si="26"/>
        <v>0</v>
      </c>
      <c r="AB213" s="307">
        <f t="shared" si="26"/>
        <v>0</v>
      </c>
      <c r="AC213" s="307">
        <f t="shared" si="26"/>
        <v>0</v>
      </c>
      <c r="AD213" s="307">
        <f t="shared" si="26"/>
        <v>0</v>
      </c>
      <c r="AE213" s="307">
        <f t="shared" si="26"/>
        <v>0</v>
      </c>
      <c r="AF213" s="308">
        <f t="shared" si="26"/>
        <v>0</v>
      </c>
      <c r="AG213" s="309">
        <f t="shared" si="26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7">AF215</f>
        <v>0</v>
      </c>
      <c r="C215" s="312">
        <v>0.3</v>
      </c>
      <c r="D215" s="312">
        <f t="shared" ref="D215:P220" si="28">C215</f>
        <v>0.3</v>
      </c>
      <c r="E215" s="312">
        <f t="shared" si="28"/>
        <v>0.3</v>
      </c>
      <c r="F215" s="312">
        <f t="shared" si="28"/>
        <v>0.3</v>
      </c>
      <c r="G215" s="312">
        <f t="shared" si="28"/>
        <v>0.3</v>
      </c>
      <c r="H215" s="312">
        <f t="shared" si="28"/>
        <v>0.3</v>
      </c>
      <c r="I215" s="312">
        <f t="shared" si="28"/>
        <v>0.3</v>
      </c>
      <c r="J215" s="312">
        <f t="shared" si="28"/>
        <v>0.3</v>
      </c>
      <c r="K215" s="312">
        <f t="shared" si="28"/>
        <v>0.3</v>
      </c>
      <c r="L215" s="312">
        <f t="shared" si="28"/>
        <v>0.3</v>
      </c>
      <c r="M215" s="312">
        <f t="shared" si="28"/>
        <v>0.3</v>
      </c>
      <c r="N215" s="312">
        <f t="shared" si="28"/>
        <v>0.3</v>
      </c>
      <c r="O215" s="312">
        <f t="shared" si="28"/>
        <v>0.3</v>
      </c>
      <c r="P215" s="312">
        <f t="shared" si="28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7"/>
        <v>0</v>
      </c>
      <c r="C216" s="299">
        <v>0.4</v>
      </c>
      <c r="D216" s="299">
        <f t="shared" si="28"/>
        <v>0.4</v>
      </c>
      <c r="E216" s="299">
        <f t="shared" si="28"/>
        <v>0.4</v>
      </c>
      <c r="F216" s="299">
        <f t="shared" si="28"/>
        <v>0.4</v>
      </c>
      <c r="G216" s="299">
        <f t="shared" si="28"/>
        <v>0.4</v>
      </c>
      <c r="H216" s="299">
        <f t="shared" si="28"/>
        <v>0.4</v>
      </c>
      <c r="I216" s="299">
        <f t="shared" si="28"/>
        <v>0.4</v>
      </c>
      <c r="J216" s="299">
        <f t="shared" si="28"/>
        <v>0.4</v>
      </c>
      <c r="K216" s="299">
        <f t="shared" si="28"/>
        <v>0.4</v>
      </c>
      <c r="L216" s="299">
        <f t="shared" si="28"/>
        <v>0.4</v>
      </c>
      <c r="M216" s="299">
        <f t="shared" si="28"/>
        <v>0.4</v>
      </c>
      <c r="N216" s="299">
        <f t="shared" si="28"/>
        <v>0.4</v>
      </c>
      <c r="O216" s="299">
        <f t="shared" si="28"/>
        <v>0.4</v>
      </c>
      <c r="P216" s="299">
        <f t="shared" si="28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7"/>
        <v>0</v>
      </c>
      <c r="C217" s="299">
        <v>1.5</v>
      </c>
      <c r="D217" s="299">
        <f t="shared" si="28"/>
        <v>1.5</v>
      </c>
      <c r="E217" s="299">
        <f t="shared" si="28"/>
        <v>1.5</v>
      </c>
      <c r="F217" s="299">
        <f t="shared" si="28"/>
        <v>1.5</v>
      </c>
      <c r="G217" s="299">
        <f t="shared" si="28"/>
        <v>1.5</v>
      </c>
      <c r="H217" s="299">
        <f t="shared" si="28"/>
        <v>1.5</v>
      </c>
      <c r="I217" s="299">
        <f t="shared" si="28"/>
        <v>1.5</v>
      </c>
      <c r="J217" s="299">
        <f t="shared" si="28"/>
        <v>1.5</v>
      </c>
      <c r="K217" s="299">
        <f t="shared" si="28"/>
        <v>1.5</v>
      </c>
      <c r="L217" s="299">
        <f t="shared" si="28"/>
        <v>1.5</v>
      </c>
      <c r="M217" s="299">
        <f t="shared" si="28"/>
        <v>1.5</v>
      </c>
      <c r="N217" s="299">
        <f t="shared" si="28"/>
        <v>1.5</v>
      </c>
      <c r="O217" s="299">
        <f t="shared" si="28"/>
        <v>1.5</v>
      </c>
      <c r="P217" s="299">
        <f t="shared" si="28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7"/>
        <v>0</v>
      </c>
      <c r="C218" s="299">
        <v>0.3</v>
      </c>
      <c r="D218" s="299">
        <f t="shared" si="28"/>
        <v>0.3</v>
      </c>
      <c r="E218" s="299">
        <f t="shared" si="28"/>
        <v>0.3</v>
      </c>
      <c r="F218" s="299">
        <f t="shared" si="28"/>
        <v>0.3</v>
      </c>
      <c r="G218" s="299">
        <f t="shared" si="28"/>
        <v>0.3</v>
      </c>
      <c r="H218" s="299">
        <f t="shared" si="28"/>
        <v>0.3</v>
      </c>
      <c r="I218" s="299">
        <f t="shared" si="28"/>
        <v>0.3</v>
      </c>
      <c r="J218" s="299">
        <f t="shared" si="28"/>
        <v>0.3</v>
      </c>
      <c r="K218" s="299">
        <f t="shared" si="28"/>
        <v>0.3</v>
      </c>
      <c r="L218" s="299">
        <f t="shared" si="28"/>
        <v>0.3</v>
      </c>
      <c r="M218" s="299">
        <f t="shared" si="28"/>
        <v>0.3</v>
      </c>
      <c r="N218" s="299">
        <f t="shared" si="28"/>
        <v>0.3</v>
      </c>
      <c r="O218" s="299">
        <f t="shared" si="28"/>
        <v>0.3</v>
      </c>
      <c r="P218" s="299">
        <f t="shared" si="28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7"/>
        <v>0</v>
      </c>
      <c r="C219" s="299">
        <v>0.4</v>
      </c>
      <c r="D219" s="299">
        <f t="shared" si="28"/>
        <v>0.4</v>
      </c>
      <c r="E219" s="299">
        <f t="shared" si="28"/>
        <v>0.4</v>
      </c>
      <c r="F219" s="299">
        <f t="shared" si="28"/>
        <v>0.4</v>
      </c>
      <c r="G219" s="299">
        <f t="shared" si="28"/>
        <v>0.4</v>
      </c>
      <c r="H219" s="299">
        <f t="shared" si="28"/>
        <v>0.4</v>
      </c>
      <c r="I219" s="299">
        <f t="shared" si="28"/>
        <v>0.4</v>
      </c>
      <c r="J219" s="299">
        <f t="shared" si="28"/>
        <v>0.4</v>
      </c>
      <c r="K219" s="299">
        <f t="shared" si="28"/>
        <v>0.4</v>
      </c>
      <c r="L219" s="299">
        <f t="shared" si="28"/>
        <v>0.4</v>
      </c>
      <c r="M219" s="299">
        <f t="shared" si="28"/>
        <v>0.4</v>
      </c>
      <c r="N219" s="299">
        <f t="shared" si="28"/>
        <v>0.4</v>
      </c>
      <c r="O219" s="299">
        <f t="shared" si="28"/>
        <v>0.4</v>
      </c>
      <c r="P219" s="299">
        <f t="shared" si="28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7"/>
        <v>0</v>
      </c>
      <c r="C220" s="303">
        <v>0.64</v>
      </c>
      <c r="D220" s="303">
        <f t="shared" si="28"/>
        <v>0.64</v>
      </c>
      <c r="E220" s="303">
        <f t="shared" si="28"/>
        <v>0.64</v>
      </c>
      <c r="F220" s="303">
        <f t="shared" si="28"/>
        <v>0.64</v>
      </c>
      <c r="G220" s="303">
        <f t="shared" si="28"/>
        <v>0.64</v>
      </c>
      <c r="H220" s="303">
        <f t="shared" si="28"/>
        <v>0.64</v>
      </c>
      <c r="I220" s="303">
        <f t="shared" si="28"/>
        <v>0.64</v>
      </c>
      <c r="J220" s="303">
        <f t="shared" si="28"/>
        <v>0.64</v>
      </c>
      <c r="K220" s="303">
        <f t="shared" si="28"/>
        <v>0.64</v>
      </c>
      <c r="L220" s="303">
        <f t="shared" si="28"/>
        <v>0.64</v>
      </c>
      <c r="M220" s="303">
        <f t="shared" si="28"/>
        <v>0.64</v>
      </c>
      <c r="N220" s="303">
        <f t="shared" si="28"/>
        <v>0.64</v>
      </c>
      <c r="O220" s="303">
        <f t="shared" si="28"/>
        <v>0.64</v>
      </c>
      <c r="P220" s="303">
        <f t="shared" si="28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9">SUM(D215:D220)</f>
        <v>3.54</v>
      </c>
      <c r="E221" s="307">
        <f t="shared" si="29"/>
        <v>3.54</v>
      </c>
      <c r="F221" s="307">
        <f t="shared" si="29"/>
        <v>3.54</v>
      </c>
      <c r="G221" s="307">
        <f t="shared" si="29"/>
        <v>3.54</v>
      </c>
      <c r="H221" s="307">
        <f t="shared" si="29"/>
        <v>3.54</v>
      </c>
      <c r="I221" s="307">
        <f t="shared" si="29"/>
        <v>3.54</v>
      </c>
      <c r="J221" s="307">
        <f t="shared" si="29"/>
        <v>3.54</v>
      </c>
      <c r="K221" s="307">
        <f t="shared" si="29"/>
        <v>3.54</v>
      </c>
      <c r="L221" s="307">
        <f t="shared" si="29"/>
        <v>3.54</v>
      </c>
      <c r="M221" s="307">
        <f>SUM(M215:M220)</f>
        <v>3.54</v>
      </c>
      <c r="N221" s="307">
        <f t="shared" ref="N221:S221" si="30">SUM(N215:N220)</f>
        <v>3.54</v>
      </c>
      <c r="O221" s="307">
        <f t="shared" si="30"/>
        <v>3.54</v>
      </c>
      <c r="P221" s="307">
        <f t="shared" si="30"/>
        <v>3.54</v>
      </c>
      <c r="Q221" s="307">
        <f t="shared" si="30"/>
        <v>0</v>
      </c>
      <c r="R221" s="307">
        <f t="shared" si="30"/>
        <v>0</v>
      </c>
      <c r="S221" s="307">
        <f t="shared" si="30"/>
        <v>0</v>
      </c>
      <c r="T221" s="307">
        <f>SUM(T215:T220)</f>
        <v>0</v>
      </c>
      <c r="U221" s="307">
        <f t="shared" ref="U221:AG221" si="31">SUM(U215:U220)</f>
        <v>0</v>
      </c>
      <c r="V221" s="307">
        <f t="shared" si="31"/>
        <v>0</v>
      </c>
      <c r="W221" s="307">
        <f t="shared" si="31"/>
        <v>0</v>
      </c>
      <c r="X221" s="307">
        <f t="shared" si="31"/>
        <v>0</v>
      </c>
      <c r="Y221" s="307">
        <f t="shared" si="31"/>
        <v>0</v>
      </c>
      <c r="Z221" s="307">
        <f t="shared" si="31"/>
        <v>0</v>
      </c>
      <c r="AA221" s="307">
        <f t="shared" si="31"/>
        <v>0</v>
      </c>
      <c r="AB221" s="307">
        <f t="shared" si="31"/>
        <v>0</v>
      </c>
      <c r="AC221" s="307">
        <f t="shared" si="31"/>
        <v>0</v>
      </c>
      <c r="AD221" s="307">
        <f t="shared" si="31"/>
        <v>0</v>
      </c>
      <c r="AE221" s="307">
        <f t="shared" si="31"/>
        <v>0</v>
      </c>
      <c r="AF221" s="307">
        <f t="shared" si="31"/>
        <v>0</v>
      </c>
      <c r="AG221" s="317">
        <f t="shared" si="31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1754.8400000000001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13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2079/02/13)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2079/02/13)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2">B79</f>
        <v>1752.88</v>
      </c>
      <c r="U235" s="343">
        <f t="shared" si="32"/>
        <v>1748.14</v>
      </c>
      <c r="V235" s="343">
        <f t="shared" si="32"/>
        <v>1749.24</v>
      </c>
      <c r="W235" s="343">
        <f t="shared" si="32"/>
        <v>1710.44</v>
      </c>
      <c r="X235" s="343">
        <f t="shared" si="32"/>
        <v>1716.8400000000001</v>
      </c>
      <c r="Y235" s="343">
        <f t="shared" si="32"/>
        <v>1672.24</v>
      </c>
      <c r="Z235" s="343">
        <f t="shared" si="32"/>
        <v>1672.24</v>
      </c>
      <c r="AA235" s="343">
        <f t="shared" si="32"/>
        <v>1672.24</v>
      </c>
      <c r="AB235" s="343">
        <f t="shared" si="32"/>
        <v>1667.04</v>
      </c>
      <c r="AC235" s="343">
        <f t="shared" si="32"/>
        <v>1690.54</v>
      </c>
      <c r="AD235" s="343">
        <f t="shared" si="32"/>
        <v>1736.14</v>
      </c>
      <c r="AE235" s="343">
        <f t="shared" si="32"/>
        <v>1754.8400000000001</v>
      </c>
      <c r="AF235" s="343">
        <f t="shared" si="32"/>
        <v>1738.54</v>
      </c>
      <c r="AG235" s="343">
        <f t="shared" si="32"/>
        <v>1788.24</v>
      </c>
      <c r="AH235" s="343">
        <f t="shared" si="32"/>
        <v>1795.7400000000002</v>
      </c>
      <c r="AI235" s="343">
        <f t="shared" si="32"/>
        <v>1809.7399999999998</v>
      </c>
      <c r="AJ235" s="343">
        <f t="shared" si="32"/>
        <v>1809.7399999999998</v>
      </c>
      <c r="AK235" s="343">
        <f t="shared" si="32"/>
        <v>1810.74</v>
      </c>
      <c r="AL235" s="343">
        <f t="shared" si="32"/>
        <v>1873.6399999999999</v>
      </c>
      <c r="AM235" s="343">
        <f t="shared" si="32"/>
        <v>1833.6399999999999</v>
      </c>
      <c r="AN235" s="343">
        <f t="shared" si="32"/>
        <v>1795.24</v>
      </c>
      <c r="AO235" s="343">
        <f t="shared" si="32"/>
        <v>1783.54</v>
      </c>
      <c r="AP235" s="343">
        <f t="shared" si="32"/>
        <v>1766.44</v>
      </c>
      <c r="AQ235" s="343">
        <f t="shared" si="32"/>
        <v>1766.1399999999999</v>
      </c>
      <c r="AR235" s="343">
        <f t="shared" si="32"/>
        <v>1793.9399999999998</v>
      </c>
      <c r="AS235" s="343">
        <f t="shared" si="32"/>
        <v>1796.9399999999998</v>
      </c>
      <c r="AT235" s="343">
        <f t="shared" si="32"/>
        <v>1842.6399999999999</v>
      </c>
      <c r="AU235" s="343">
        <f t="shared" si="32"/>
        <v>1843.94</v>
      </c>
      <c r="AV235" s="343">
        <f t="shared" si="32"/>
        <v>1835.34</v>
      </c>
      <c r="AW235" s="343">
        <f t="shared" si="32"/>
        <v>1836.54</v>
      </c>
      <c r="AX235" s="343">
        <f t="shared" si="32"/>
        <v>1767.2399999999998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3">C220</f>
        <v>0.64</v>
      </c>
      <c r="C256" s="346">
        <f t="shared" si="33"/>
        <v>0.64</v>
      </c>
      <c r="D256" s="346">
        <f t="shared" si="33"/>
        <v>0.64</v>
      </c>
      <c r="E256" s="346">
        <f t="shared" si="33"/>
        <v>0.64</v>
      </c>
      <c r="F256" s="346">
        <f t="shared" si="33"/>
        <v>0.64</v>
      </c>
      <c r="G256" s="346">
        <f t="shared" si="33"/>
        <v>0.64</v>
      </c>
      <c r="H256" s="346">
        <f t="shared" si="33"/>
        <v>0.64</v>
      </c>
      <c r="I256" s="346">
        <f t="shared" si="33"/>
        <v>0.64</v>
      </c>
      <c r="J256" s="346">
        <f t="shared" si="33"/>
        <v>0.64</v>
      </c>
      <c r="K256" s="346">
        <f t="shared" si="33"/>
        <v>0.64</v>
      </c>
      <c r="L256" s="346">
        <f t="shared" si="33"/>
        <v>0.64</v>
      </c>
      <c r="M256" s="346">
        <f t="shared" si="33"/>
        <v>0.64</v>
      </c>
      <c r="N256" s="346">
        <f t="shared" si="33"/>
        <v>0.64</v>
      </c>
      <c r="O256" s="346">
        <f t="shared" si="33"/>
        <v>0.64</v>
      </c>
      <c r="P256" s="346">
        <f t="shared" si="33"/>
        <v>0</v>
      </c>
      <c r="Q256" s="346">
        <f t="shared" si="33"/>
        <v>0</v>
      </c>
      <c r="R256" s="346">
        <f t="shared" si="33"/>
        <v>0</v>
      </c>
      <c r="S256" s="346">
        <f t="shared" si="33"/>
        <v>0</v>
      </c>
      <c r="T256" s="346">
        <f t="shared" si="33"/>
        <v>0</v>
      </c>
      <c r="U256" s="346">
        <f t="shared" si="33"/>
        <v>0</v>
      </c>
      <c r="V256" s="346">
        <f t="shared" si="33"/>
        <v>0</v>
      </c>
      <c r="W256" s="346">
        <f t="shared" si="33"/>
        <v>0</v>
      </c>
      <c r="X256" s="346">
        <f t="shared" si="33"/>
        <v>0</v>
      </c>
      <c r="Y256" s="346">
        <f t="shared" si="33"/>
        <v>0</v>
      </c>
      <c r="Z256" s="346">
        <f t="shared" si="33"/>
        <v>0</v>
      </c>
      <c r="AA256" s="346">
        <f t="shared" si="33"/>
        <v>0</v>
      </c>
      <c r="AB256" s="346">
        <f t="shared" si="33"/>
        <v>0</v>
      </c>
      <c r="AC256" s="346">
        <f t="shared" si="33"/>
        <v>0</v>
      </c>
      <c r="AD256" s="346">
        <f t="shared" si="33"/>
        <v>0</v>
      </c>
      <c r="AE256" s="346">
        <f t="shared" si="33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4">IF(C224&lt;100,"",C224-520)</f>
        <v/>
      </c>
      <c r="D257" s="347" t="str">
        <f t="shared" si="34"/>
        <v/>
      </c>
      <c r="E257" s="347" t="str">
        <f t="shared" si="34"/>
        <v/>
      </c>
      <c r="F257" s="347" t="str">
        <f t="shared" si="34"/>
        <v/>
      </c>
      <c r="G257" s="347" t="str">
        <f t="shared" si="34"/>
        <v/>
      </c>
      <c r="H257" s="347" t="str">
        <f t="shared" si="34"/>
        <v/>
      </c>
      <c r="I257" s="347" t="str">
        <f t="shared" si="34"/>
        <v/>
      </c>
      <c r="J257" s="347" t="str">
        <f t="shared" si="34"/>
        <v/>
      </c>
      <c r="K257" s="347" t="str">
        <f t="shared" si="34"/>
        <v/>
      </c>
      <c r="L257" s="347" t="str">
        <f t="shared" si="34"/>
        <v/>
      </c>
      <c r="M257" s="347" t="str">
        <f t="shared" si="34"/>
        <v/>
      </c>
      <c r="N257" s="347" t="str">
        <f t="shared" si="34"/>
        <v/>
      </c>
      <c r="O257" s="347" t="str">
        <f t="shared" si="34"/>
        <v/>
      </c>
      <c r="P257" s="347" t="str">
        <f t="shared" si="34"/>
        <v/>
      </c>
      <c r="Q257" s="347" t="str">
        <f t="shared" si="34"/>
        <v/>
      </c>
      <c r="R257" s="347" t="str">
        <f t="shared" si="34"/>
        <v/>
      </c>
      <c r="S257" s="347" t="str">
        <f t="shared" si="34"/>
        <v/>
      </c>
      <c r="T257" s="347" t="str">
        <f t="shared" si="34"/>
        <v/>
      </c>
      <c r="U257" s="347" t="str">
        <f t="shared" si="34"/>
        <v/>
      </c>
      <c r="V257" s="347" t="str">
        <f t="shared" si="34"/>
        <v/>
      </c>
      <c r="W257" s="347" t="str">
        <f t="shared" si="34"/>
        <v/>
      </c>
      <c r="X257" s="347" t="str">
        <f t="shared" si="34"/>
        <v/>
      </c>
      <c r="Y257" s="347" t="str">
        <f t="shared" si="34"/>
        <v/>
      </c>
      <c r="Z257" s="347" t="str">
        <f t="shared" si="34"/>
        <v/>
      </c>
      <c r="AA257" s="347" t="str">
        <f t="shared" si="34"/>
        <v/>
      </c>
      <c r="AB257" s="347" t="str">
        <f t="shared" si="34"/>
        <v/>
      </c>
      <c r="AC257" s="347" t="str">
        <f t="shared" si="34"/>
        <v/>
      </c>
      <c r="AD257" s="347" t="str">
        <f t="shared" si="34"/>
        <v/>
      </c>
      <c r="AE257" s="347" t="str">
        <f t="shared" si="34"/>
        <v/>
      </c>
      <c r="AF257" s="347" t="str">
        <f t="shared" si="34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5">IF(B225&lt;100,"",B225-620)</f>
        <v/>
      </c>
      <c r="C258" s="347" t="str">
        <f t="shared" si="35"/>
        <v/>
      </c>
      <c r="D258" s="347" t="str">
        <f t="shared" si="35"/>
        <v/>
      </c>
      <c r="E258" s="347" t="str">
        <f t="shared" si="35"/>
        <v/>
      </c>
      <c r="F258" s="347" t="str">
        <f t="shared" si="35"/>
        <v/>
      </c>
      <c r="G258" s="347" t="str">
        <f t="shared" si="35"/>
        <v/>
      </c>
      <c r="H258" s="347" t="str">
        <f t="shared" si="35"/>
        <v/>
      </c>
      <c r="I258" s="347" t="str">
        <f t="shared" si="35"/>
        <v/>
      </c>
      <c r="J258" s="347" t="str">
        <f t="shared" si="35"/>
        <v/>
      </c>
      <c r="K258" s="347" t="str">
        <f t="shared" si="35"/>
        <v/>
      </c>
      <c r="L258" s="347" t="str">
        <f t="shared" si="35"/>
        <v/>
      </c>
      <c r="M258" s="347" t="str">
        <f t="shared" si="35"/>
        <v/>
      </c>
      <c r="N258" s="347" t="str">
        <f t="shared" si="35"/>
        <v/>
      </c>
      <c r="O258" s="347" t="str">
        <f t="shared" si="35"/>
        <v/>
      </c>
      <c r="P258" s="347" t="str">
        <f t="shared" si="35"/>
        <v/>
      </c>
      <c r="Q258" s="347" t="str">
        <f t="shared" si="35"/>
        <v/>
      </c>
      <c r="R258" s="347" t="str">
        <f t="shared" si="35"/>
        <v/>
      </c>
      <c r="S258" s="347" t="str">
        <f t="shared" si="35"/>
        <v/>
      </c>
      <c r="T258" s="347" t="str">
        <f t="shared" si="35"/>
        <v/>
      </c>
      <c r="U258" s="347" t="str">
        <f t="shared" si="35"/>
        <v/>
      </c>
      <c r="V258" s="347" t="str">
        <f t="shared" si="35"/>
        <v/>
      </c>
      <c r="W258" s="347" t="str">
        <f t="shared" si="35"/>
        <v/>
      </c>
      <c r="X258" s="347" t="str">
        <f t="shared" si="35"/>
        <v/>
      </c>
      <c r="Y258" s="347" t="str">
        <f t="shared" si="35"/>
        <v/>
      </c>
      <c r="Z258" s="347" t="str">
        <f t="shared" si="35"/>
        <v/>
      </c>
      <c r="AA258" s="347" t="str">
        <f t="shared" si="35"/>
        <v/>
      </c>
      <c r="AB258" s="347" t="str">
        <f t="shared" si="35"/>
        <v/>
      </c>
      <c r="AC258" s="347" t="str">
        <f t="shared" si="35"/>
        <v/>
      </c>
      <c r="AD258" s="347" t="str">
        <f t="shared" si="35"/>
        <v/>
      </c>
      <c r="AE258" s="347" t="str">
        <f t="shared" si="35"/>
        <v/>
      </c>
      <c r="AF258" s="347" t="str">
        <f t="shared" si="35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6">IF(B226&lt;100,"",B226-330)</f>
        <v/>
      </c>
      <c r="C259" s="347" t="str">
        <f t="shared" si="36"/>
        <v/>
      </c>
      <c r="D259" s="347" t="str">
        <f t="shared" si="36"/>
        <v/>
      </c>
      <c r="E259" s="347" t="str">
        <f t="shared" si="36"/>
        <v/>
      </c>
      <c r="F259" s="347" t="str">
        <f t="shared" si="36"/>
        <v/>
      </c>
      <c r="G259" s="347" t="str">
        <f t="shared" si="36"/>
        <v/>
      </c>
      <c r="H259" s="347" t="str">
        <f t="shared" si="36"/>
        <v/>
      </c>
      <c r="I259" s="347" t="str">
        <f t="shared" si="36"/>
        <v/>
      </c>
      <c r="J259" s="347" t="str">
        <f t="shared" si="36"/>
        <v/>
      </c>
      <c r="K259" s="347" t="str">
        <f t="shared" si="36"/>
        <v/>
      </c>
      <c r="L259" s="347" t="str">
        <f t="shared" si="36"/>
        <v/>
      </c>
      <c r="M259" s="347" t="str">
        <f t="shared" si="36"/>
        <v/>
      </c>
      <c r="N259" s="347" t="str">
        <f t="shared" si="36"/>
        <v/>
      </c>
      <c r="O259" s="347" t="str">
        <f t="shared" si="36"/>
        <v/>
      </c>
      <c r="P259" s="347" t="str">
        <f t="shared" si="36"/>
        <v/>
      </c>
      <c r="Q259" s="347" t="str">
        <f t="shared" si="36"/>
        <v/>
      </c>
      <c r="R259" s="347" t="str">
        <f t="shared" si="36"/>
        <v/>
      </c>
      <c r="S259" s="347" t="str">
        <f t="shared" si="36"/>
        <v/>
      </c>
      <c r="T259" s="347" t="str">
        <f t="shared" si="36"/>
        <v/>
      </c>
      <c r="U259" s="347" t="str">
        <f t="shared" si="36"/>
        <v/>
      </c>
      <c r="V259" s="347" t="str">
        <f t="shared" si="36"/>
        <v/>
      </c>
      <c r="W259" s="347" t="str">
        <f t="shared" si="36"/>
        <v/>
      </c>
      <c r="X259" s="347" t="str">
        <f t="shared" si="36"/>
        <v/>
      </c>
      <c r="Y259" s="347" t="str">
        <f t="shared" si="36"/>
        <v/>
      </c>
      <c r="Z259" s="347" t="str">
        <f t="shared" si="36"/>
        <v/>
      </c>
      <c r="AA259" s="347" t="str">
        <f t="shared" si="36"/>
        <v/>
      </c>
      <c r="AB259" s="347" t="str">
        <f t="shared" si="36"/>
        <v/>
      </c>
      <c r="AC259" s="347" t="str">
        <f t="shared" si="36"/>
        <v/>
      </c>
      <c r="AD259" s="347" t="str">
        <f t="shared" si="36"/>
        <v/>
      </c>
      <c r="AE259" s="347" t="str">
        <f t="shared" si="36"/>
        <v/>
      </c>
      <c r="AF259" s="347" t="str">
        <f t="shared" si="36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7">IF(C227&lt;100,"",C227-1500)</f>
        <v/>
      </c>
      <c r="D260" s="347" t="str">
        <f t="shared" si="37"/>
        <v/>
      </c>
      <c r="E260" s="347" t="str">
        <f t="shared" si="37"/>
        <v/>
      </c>
      <c r="F260" s="347" t="str">
        <f t="shared" si="37"/>
        <v/>
      </c>
      <c r="G260" s="347" t="str">
        <f t="shared" si="37"/>
        <v/>
      </c>
      <c r="H260" s="347" t="str">
        <f t="shared" si="37"/>
        <v/>
      </c>
      <c r="I260" s="347" t="str">
        <f t="shared" si="37"/>
        <v/>
      </c>
      <c r="J260" s="347" t="str">
        <f t="shared" si="37"/>
        <v/>
      </c>
      <c r="K260" s="347" t="str">
        <f t="shared" si="37"/>
        <v/>
      </c>
      <c r="L260" s="347" t="str">
        <f t="shared" si="37"/>
        <v/>
      </c>
      <c r="M260" s="347" t="str">
        <f t="shared" si="37"/>
        <v/>
      </c>
      <c r="N260" s="347" t="str">
        <f t="shared" si="37"/>
        <v/>
      </c>
      <c r="O260" s="347" t="str">
        <f t="shared" si="37"/>
        <v/>
      </c>
      <c r="P260" s="347" t="str">
        <f t="shared" si="37"/>
        <v/>
      </c>
      <c r="Q260" s="347" t="str">
        <f t="shared" si="37"/>
        <v/>
      </c>
      <c r="R260" s="347" t="str">
        <f t="shared" si="37"/>
        <v/>
      </c>
      <c r="S260" s="347" t="str">
        <f t="shared" si="37"/>
        <v/>
      </c>
      <c r="T260" s="347" t="str">
        <f t="shared" si="37"/>
        <v/>
      </c>
      <c r="U260" s="347" t="str">
        <f t="shared" si="37"/>
        <v/>
      </c>
      <c r="V260" s="347" t="str">
        <f t="shared" si="37"/>
        <v/>
      </c>
      <c r="W260" s="347" t="str">
        <f t="shared" si="37"/>
        <v/>
      </c>
      <c r="X260" s="347" t="str">
        <f t="shared" si="37"/>
        <v/>
      </c>
      <c r="Y260" s="347" t="str">
        <f t="shared" si="37"/>
        <v/>
      </c>
      <c r="Z260" s="347" t="str">
        <f t="shared" si="37"/>
        <v/>
      </c>
      <c r="AA260" s="347" t="str">
        <f t="shared" si="37"/>
        <v/>
      </c>
      <c r="AB260" s="347" t="str">
        <f t="shared" si="37"/>
        <v/>
      </c>
      <c r="AC260" s="347" t="str">
        <f t="shared" si="37"/>
        <v/>
      </c>
      <c r="AD260" s="347" t="str">
        <f t="shared" si="37"/>
        <v/>
      </c>
      <c r="AE260" s="347" t="str">
        <f t="shared" si="37"/>
        <v/>
      </c>
      <c r="AF260" s="347" t="str">
        <f t="shared" si="37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4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">
    <cfRule type="expression" dxfId="5369" priority="470">
      <formula>B$9&gt;=20/24</formula>
    </cfRule>
    <cfRule type="expression" dxfId="5368" priority="471">
      <formula>AND(B$9&gt;=14/24,B$9&lt;20/24)</formula>
    </cfRule>
    <cfRule type="expression" dxfId="5367" priority="472">
      <formula>AND(B$9&gt;=8/24,B$9&lt;14/24)</formula>
    </cfRule>
    <cfRule type="expression" dxfId="5366" priority="473">
      <formula>B$9&lt;8/24</formula>
    </cfRule>
  </conditionalFormatting>
  <conditionalFormatting sqref="AL4:AL6">
    <cfRule type="iconSet" priority="469">
      <iconSet iconSet="3TrafficLights2" reverse="1">
        <cfvo type="percent" val="0"/>
        <cfvo type="num" val="1"/>
        <cfvo type="num" val="1"/>
      </iconSet>
    </cfRule>
  </conditionalFormatting>
  <conditionalFormatting sqref="AF37">
    <cfRule type="expression" dxfId="5365" priority="465">
      <formula>AF$9&gt;=20/24</formula>
    </cfRule>
    <cfRule type="expression" dxfId="5364" priority="466">
      <formula>AND(AF$9&gt;=14/24,AF$9&lt;20/24)</formula>
    </cfRule>
    <cfRule type="expression" dxfId="5363" priority="467">
      <formula>AND(AF$9&gt;=8/24,AF$9&lt;14/24)</formula>
    </cfRule>
    <cfRule type="expression" dxfId="5362" priority="468">
      <formula>AF$9&lt;8/24</formula>
    </cfRule>
  </conditionalFormatting>
  <conditionalFormatting sqref="AG55 AF37 M11:N11 M16:N16 O11:R16 S11:AF13">
    <cfRule type="expression" dxfId="5361" priority="464">
      <formula>M11&gt;$AG11</formula>
    </cfRule>
  </conditionalFormatting>
  <conditionalFormatting sqref="A89:A102 A11:A14 A49:A76 A85:A87 A191:A221 A16:A30 A36:A47 A107:A178 A32:A33 A81:A83 A78:A79">
    <cfRule type="expression" dxfId="5360" priority="463">
      <formula>$AH11=0</formula>
    </cfRule>
  </conditionalFormatting>
  <conditionalFormatting sqref="A103">
    <cfRule type="expression" dxfId="5359" priority="462">
      <formula>$AH103=0</formula>
    </cfRule>
  </conditionalFormatting>
  <conditionalFormatting sqref="AL33">
    <cfRule type="iconSet" priority="461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358" priority="460">
      <formula>$AH35=0</formula>
    </cfRule>
  </conditionalFormatting>
  <conditionalFormatting sqref="A88">
    <cfRule type="expression" dxfId="5357" priority="459">
      <formula>$AH88=0</formula>
    </cfRule>
  </conditionalFormatting>
  <conditionalFormatting sqref="A15">
    <cfRule type="expression" dxfId="5356" priority="458">
      <formula>$AH15=0</formula>
    </cfRule>
  </conditionalFormatting>
  <conditionalFormatting sqref="A185:A190">
    <cfRule type="expression" dxfId="5355" priority="457">
      <formula>$AH185=0</formula>
    </cfRule>
  </conditionalFormatting>
  <conditionalFormatting sqref="A179:A184">
    <cfRule type="expression" dxfId="5354" priority="456">
      <formula>$AH179=0</formula>
    </cfRule>
  </conditionalFormatting>
  <conditionalFormatting sqref="A48">
    <cfRule type="expression" dxfId="5353" priority="455">
      <formula>$AH48=0</formula>
    </cfRule>
  </conditionalFormatting>
  <conditionalFormatting sqref="A84">
    <cfRule type="expression" dxfId="5352" priority="454">
      <formula>$AH84=0</formula>
    </cfRule>
  </conditionalFormatting>
  <conditionalFormatting sqref="T89:AF89 C89:R89">
    <cfRule type="expression" dxfId="5351" priority="450">
      <formula>C$9&gt;=20/24</formula>
    </cfRule>
    <cfRule type="expression" dxfId="5350" priority="451">
      <formula>AND(C$9&gt;=14/24,C$9&lt;20/24)</formula>
    </cfRule>
    <cfRule type="expression" dxfId="5349" priority="452">
      <formula>AND(C$9&gt;=8/24,C$9&lt;14/24)</formula>
    </cfRule>
    <cfRule type="expression" dxfId="5348" priority="453">
      <formula>C$9&lt;8/24</formula>
    </cfRule>
  </conditionalFormatting>
  <conditionalFormatting sqref="AL34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47" priority="476">
      <formula>C$9&gt;=20/24</formula>
    </cfRule>
    <cfRule type="expression" dxfId="5346" priority="477">
      <formula>AND(C$9&gt;=14/24,C$9&lt;20/24)</formula>
    </cfRule>
    <cfRule type="expression" dxfId="5345" priority="478">
      <formula>AND(C$9&gt;=8/24,C$9&lt;14/24)</formula>
    </cfRule>
    <cfRule type="expression" dxfId="5344" priority="479">
      <formula>C$9&lt;8/24</formula>
    </cfRule>
  </conditionalFormatting>
  <conditionalFormatting sqref="A222">
    <cfRule type="expression" dxfId="5343" priority="480">
      <formula>$AH222=0</formula>
    </cfRule>
  </conditionalFormatting>
  <conditionalFormatting sqref="AG234">
    <cfRule type="expression" dxfId="5342" priority="481">
      <formula>B$9&gt;=20/24</formula>
    </cfRule>
    <cfRule type="expression" dxfId="5341" priority="482">
      <formula>AND(B$9&gt;=14/24,B$9&lt;20/24)</formula>
    </cfRule>
    <cfRule type="expression" dxfId="5340" priority="483">
      <formula>AND(B$9&gt;=8/24,B$9&lt;14/24)</formula>
    </cfRule>
    <cfRule type="expression" dxfId="5339" priority="484">
      <formula>B$9&lt;8/24</formula>
    </cfRule>
  </conditionalFormatting>
  <conditionalFormatting sqref="S8">
    <cfRule type="expression" dxfId="5338" priority="445">
      <formula>U$9&gt;=20/24</formula>
    </cfRule>
    <cfRule type="expression" dxfId="5337" priority="446">
      <formula>AND(U$9&gt;=14/24,U$9&lt;20/24)</formula>
    </cfRule>
    <cfRule type="expression" dxfId="5336" priority="447">
      <formula>AND(U$9&gt;=8/24,U$9&lt;14/24)</formula>
    </cfRule>
    <cfRule type="expression" dxfId="5335" priority="448">
      <formula>U$9&lt;8/24</formula>
    </cfRule>
  </conditionalFormatting>
  <conditionalFormatting sqref="AB8">
    <cfRule type="expression" dxfId="5334" priority="441">
      <formula>AD$9&gt;=20/24</formula>
    </cfRule>
    <cfRule type="expression" dxfId="5333" priority="442">
      <formula>AND(AD$9&gt;=14/24,AD$9&lt;20/24)</formula>
    </cfRule>
    <cfRule type="expression" dxfId="5332" priority="443">
      <formula>AND(AD$9&gt;=8/24,AD$9&lt;14/24)</formula>
    </cfRule>
    <cfRule type="expression" dxfId="5331" priority="444">
      <formula>AD$9&lt;8/24</formula>
    </cfRule>
  </conditionalFormatting>
  <conditionalFormatting sqref="AH234:AX234">
    <cfRule type="expression" dxfId="5330" priority="485">
      <formula>AG$9&gt;=20/24</formula>
    </cfRule>
    <cfRule type="expression" dxfId="5329" priority="486">
      <formula>AND(AG$9&gt;=14/24,AG$9&lt;20/24)</formula>
    </cfRule>
    <cfRule type="expression" dxfId="5328" priority="487">
      <formula>AND(AG$9&gt;=8/24,AG$9&lt;14/24)</formula>
    </cfRule>
    <cfRule type="expression" dxfId="5327" priority="488">
      <formula>AG$9&lt;8/24</formula>
    </cfRule>
  </conditionalFormatting>
  <conditionalFormatting sqref="T234">
    <cfRule type="expression" dxfId="5326" priority="489">
      <formula>AX$9&gt;=20/24</formula>
    </cfRule>
    <cfRule type="expression" dxfId="5325" priority="490">
      <formula>AND(AX$9&gt;=14/24,AX$9&lt;20/24)</formula>
    </cfRule>
    <cfRule type="expression" dxfId="5324" priority="491">
      <formula>AND(AX$9&gt;=8/24,AX$9&lt;14/24)</formula>
    </cfRule>
    <cfRule type="expression" dxfId="5323" priority="492">
      <formula>AX$9&lt;8/24</formula>
    </cfRule>
  </conditionalFormatting>
  <conditionalFormatting sqref="A104:A105">
    <cfRule type="expression" dxfId="5322" priority="440">
      <formula>$AH104=0</formula>
    </cfRule>
  </conditionalFormatting>
  <conditionalFormatting sqref="C61:R61 T61:AF61">
    <cfRule type="expression" dxfId="5321" priority="436">
      <formula>C$9&gt;=20/24</formula>
    </cfRule>
    <cfRule type="expression" dxfId="5320" priority="437">
      <formula>AND(C$9&gt;=14/24,C$9&lt;20/24)</formula>
    </cfRule>
    <cfRule type="expression" dxfId="5319" priority="438">
      <formula>AND(C$9&gt;=8/24,C$9&lt;14/24)</formula>
    </cfRule>
    <cfRule type="expression" dxfId="5318" priority="439">
      <formula>C$9&lt;8/24</formula>
    </cfRule>
  </conditionalFormatting>
  <conditionalFormatting sqref="C86:AF86 C76:AF76 B91:B96 T62:U63 T90:U92 U64:U71 U93:U96 M37:R37 M11:R14 M16:R16 O18:R21 D71:R71 C62:R67 C90:R96 V90:AF96 S11:AF13 C57:AF59 V62:AF71 D73:AF75">
    <cfRule type="expression" dxfId="5317" priority="427">
      <formula>B$9&gt;=20/24</formula>
    </cfRule>
    <cfRule type="expression" dxfId="5316" priority="428">
      <formula>AND(B$9&gt;=14/24,B$9&lt;20/24)</formula>
    </cfRule>
    <cfRule type="expression" dxfId="5315" priority="429">
      <formula>AND(B$9&gt;=8/24,B$9&lt;14/24)</formula>
    </cfRule>
    <cfRule type="expression" dxfId="5314" priority="430">
      <formula>B$9&lt;8/24</formula>
    </cfRule>
  </conditionalFormatting>
  <conditionalFormatting sqref="C55:R55 M11:N15 T55:AF55 E37:R37 O11:R11 O18:R21 C57:AF59">
    <cfRule type="expression" dxfId="5313" priority="422">
      <formula>C11&gt;$AG11</formula>
    </cfRule>
  </conditionalFormatting>
  <conditionalFormatting sqref="M15:R15">
    <cfRule type="expression" dxfId="5312" priority="414">
      <formula>M$9&gt;=20/24</formula>
    </cfRule>
    <cfRule type="expression" dxfId="5311" priority="415">
      <formula>AND(M$9&gt;=14/24,M$9&lt;20/24)</formula>
    </cfRule>
    <cfRule type="expression" dxfId="5310" priority="416">
      <formula>AND(M$9&gt;=8/24,M$9&lt;14/24)</formula>
    </cfRule>
    <cfRule type="expression" dxfId="5309" priority="417">
      <formula>M$9&lt;8/24</formula>
    </cfRule>
  </conditionalFormatting>
  <conditionalFormatting sqref="S11:AF11">
    <cfRule type="expression" dxfId="5308" priority="405">
      <formula>S$9&gt;=20/24</formula>
    </cfRule>
    <cfRule type="expression" dxfId="5307" priority="406">
      <formula>AND(S$9&gt;=14/24,S$9&lt;20/24)</formula>
    </cfRule>
    <cfRule type="expression" dxfId="5306" priority="407">
      <formula>AND(S$9&gt;=8/24,S$9&lt;14/24)</formula>
    </cfRule>
    <cfRule type="expression" dxfId="5305" priority="408">
      <formula>S$9&lt;8/24</formula>
    </cfRule>
  </conditionalFormatting>
  <conditionalFormatting sqref="M43:N47 O43:R54">
    <cfRule type="expression" dxfId="5304" priority="396">
      <formula>M$9&gt;=20/24</formula>
    </cfRule>
    <cfRule type="expression" dxfId="5303" priority="397">
      <formula>AND(M$9&gt;=14/24,M$9&lt;20/24)</formula>
    </cfRule>
    <cfRule type="expression" dxfId="5302" priority="398">
      <formula>AND(M$9&gt;=8/24,M$9&lt;14/24)</formula>
    </cfRule>
    <cfRule type="expression" dxfId="5301" priority="399">
      <formula>M$9&lt;8/24</formula>
    </cfRule>
  </conditionalFormatting>
  <conditionalFormatting sqref="M43:N47 O43:R54">
    <cfRule type="expression" dxfId="5300" priority="395">
      <formula>M43&gt;$AG43</formula>
    </cfRule>
  </conditionalFormatting>
  <conditionalFormatting sqref="M17:R17">
    <cfRule type="expression" dxfId="5299" priority="387">
      <formula>M$9&gt;=20/24</formula>
    </cfRule>
    <cfRule type="expression" dxfId="5298" priority="388">
      <formula>AND(M$9&gt;=14/24,M$9&lt;20/24)</formula>
    </cfRule>
    <cfRule type="expression" dxfId="5297" priority="389">
      <formula>AND(M$9&gt;=8/24,M$9&lt;14/24)</formula>
    </cfRule>
    <cfRule type="expression" dxfId="5296" priority="390">
      <formula>M$9&lt;8/24</formula>
    </cfRule>
  </conditionalFormatting>
  <conditionalFormatting sqref="M17:R17">
    <cfRule type="expression" dxfId="5295" priority="382">
      <formula>M17&gt;$AG17</formula>
    </cfRule>
  </conditionalFormatting>
  <conditionalFormatting sqref="C44:L45">
    <cfRule type="expression" dxfId="5294" priority="365">
      <formula>C$9&gt;=20/24</formula>
    </cfRule>
    <cfRule type="expression" dxfId="5293" priority="366">
      <formula>AND(C$9&gt;=14/24,C$9&lt;20/24)</formula>
    </cfRule>
    <cfRule type="expression" dxfId="5292" priority="367">
      <formula>AND(C$9&gt;=8/24,C$9&lt;14/24)</formula>
    </cfRule>
    <cfRule type="expression" dxfId="5291" priority="368">
      <formula>C$9&lt;8/24</formula>
    </cfRule>
  </conditionalFormatting>
  <conditionalFormatting sqref="C43:L43">
    <cfRule type="expression" dxfId="5290" priority="361">
      <formula>C$9&gt;=20/24</formula>
    </cfRule>
    <cfRule type="expression" dxfId="5289" priority="362">
      <formula>AND(C$9&gt;=14/24,C$9&lt;20/24)</formula>
    </cfRule>
    <cfRule type="expression" dxfId="5288" priority="363">
      <formula>AND(C$9&gt;=8/24,C$9&lt;14/24)</formula>
    </cfRule>
    <cfRule type="expression" dxfId="5287" priority="364">
      <formula>C$9&lt;8/24</formula>
    </cfRule>
  </conditionalFormatting>
  <conditionalFormatting sqref="C43:L45">
    <cfRule type="expression" dxfId="5286" priority="360">
      <formula>C43&gt;$AG43</formula>
    </cfRule>
  </conditionalFormatting>
  <conditionalFormatting sqref="C69:C71 C68:L68 D69:L70 M68:R70">
    <cfRule type="expression" dxfId="5285" priority="356">
      <formula>C$9&gt;=20/24</formula>
    </cfRule>
    <cfRule type="expression" dxfId="5284" priority="357">
      <formula>AND(C$9&gt;=14/24,C$9&lt;20/24)</formula>
    </cfRule>
    <cfRule type="expression" dxfId="5283" priority="358">
      <formula>AND(C$9&gt;=8/24,C$9&lt;14/24)</formula>
    </cfRule>
    <cfRule type="expression" dxfId="5282" priority="359">
      <formula>C$9&lt;8/24</formula>
    </cfRule>
  </conditionalFormatting>
  <conditionalFormatting sqref="C46:L47">
    <cfRule type="expression" dxfId="5281" priority="355">
      <formula>C46&gt;$AG46</formula>
    </cfRule>
  </conditionalFormatting>
  <conditionalFormatting sqref="C48:N54">
    <cfRule type="expression" dxfId="5280" priority="351">
      <formula>C$9&gt;=20/24</formula>
    </cfRule>
    <cfRule type="expression" dxfId="5279" priority="352">
      <formula>AND(C$9&gt;=14/24,C$9&lt;20/24)</formula>
    </cfRule>
    <cfRule type="expression" dxfId="5278" priority="353">
      <formula>AND(C$9&gt;=8/24,C$9&lt;14/24)</formula>
    </cfRule>
    <cfRule type="expression" dxfId="5277" priority="354">
      <formula>C$9&lt;8/24</formula>
    </cfRule>
  </conditionalFormatting>
  <conditionalFormatting sqref="C48:N54">
    <cfRule type="expression" dxfId="5276" priority="350">
      <formula>C48&gt;$AG48</formula>
    </cfRule>
  </conditionalFormatting>
  <conditionalFormatting sqref="C78:AF78 C87:AF87">
    <cfRule type="expression" dxfId="5275" priority="337">
      <formula>C$9&gt;=20/24</formula>
    </cfRule>
    <cfRule type="expression" dxfId="5274" priority="338">
      <formula>AND(C$9&gt;=14/24,C$9&lt;20/24)</formula>
    </cfRule>
    <cfRule type="expression" dxfId="5273" priority="339">
      <formula>AND(C$9&gt;=8/24,C$9&lt;14/24)</formula>
    </cfRule>
    <cfRule type="expression" dxfId="5272" priority="340">
      <formula>C$9&lt;8/24</formula>
    </cfRule>
  </conditionalFormatting>
  <conditionalFormatting sqref="C79:AF79 C88:AF88 C77:AG77 C60:AG60">
    <cfRule type="expression" dxfId="5271" priority="315">
      <formula>C$9&gt;=20/24</formula>
    </cfRule>
    <cfRule type="expression" dxfId="5270" priority="316">
      <formula>AND(C$9&gt;=14/24,C$9&lt;20/24)</formula>
    </cfRule>
    <cfRule type="expression" dxfId="5269" priority="317">
      <formula>AND(C$9&gt;=8/24,C$9&lt;14/24)</formula>
    </cfRule>
    <cfRule type="expression" dxfId="5268" priority="318">
      <formula>C$9&lt;8/24</formula>
    </cfRule>
  </conditionalFormatting>
  <conditionalFormatting sqref="C38:R38 C60:AG60 C56:AG56 T38:AG38">
    <cfRule type="expression" dxfId="5267" priority="310">
      <formula>C38&gt;$AG38</formula>
    </cfRule>
  </conditionalFormatting>
  <conditionalFormatting sqref="A34">
    <cfRule type="expression" dxfId="5266" priority="282">
      <formula>$AH34=0</formula>
    </cfRule>
  </conditionalFormatting>
  <conditionalFormatting sqref="C72:AF72">
    <cfRule type="expression" dxfId="5265" priority="278">
      <formula>C$9&gt;=20/24</formula>
    </cfRule>
    <cfRule type="expression" dxfId="5264" priority="279">
      <formula>AND(C$9&gt;=14/24,C$9&lt;20/24)</formula>
    </cfRule>
    <cfRule type="expression" dxfId="5263" priority="280">
      <formula>AND(C$9&gt;=8/24,C$9&lt;14/24)</formula>
    </cfRule>
    <cfRule type="expression" dxfId="5262" priority="281">
      <formula>C$9&lt;8/24</formula>
    </cfRule>
  </conditionalFormatting>
  <conditionalFormatting sqref="C81:AF85">
    <cfRule type="expression" dxfId="5261" priority="274">
      <formula>C$9&gt;=20/24</formula>
    </cfRule>
    <cfRule type="expression" dxfId="5260" priority="275">
      <formula>AND(C$9&gt;=14/24,C$9&lt;20/24)</formula>
    </cfRule>
    <cfRule type="expression" dxfId="5259" priority="276">
      <formula>AND(C$9&gt;=8/24,C$9&lt;14/24)</formula>
    </cfRule>
    <cfRule type="expression" dxfId="5258" priority="277">
      <formula>C$9&lt;8/24</formula>
    </cfRule>
  </conditionalFormatting>
  <conditionalFormatting sqref="AL35 AL7:AL30 AL32">
    <cfRule type="iconSet" priority="493">
      <iconSet iconSet="3TrafficLights2" reverse="1">
        <cfvo type="percent" val="0"/>
        <cfvo type="num" val="1"/>
        <cfvo type="num" val="1"/>
      </iconSet>
    </cfRule>
  </conditionalFormatting>
  <conditionalFormatting sqref="C42:AG42">
    <cfRule type="expression" dxfId="5257" priority="265">
      <formula>C$9&gt;=20/24</formula>
    </cfRule>
    <cfRule type="expression" dxfId="5256" priority="266">
      <formula>AND(C$9&gt;=14/24,C$9&lt;20/24)</formula>
    </cfRule>
    <cfRule type="expression" dxfId="5255" priority="267">
      <formula>AND(C$9&gt;=8/24,C$9&lt;14/24)</formula>
    </cfRule>
    <cfRule type="expression" dxfId="5254" priority="268">
      <formula>C$9&lt;8/24</formula>
    </cfRule>
  </conditionalFormatting>
  <conditionalFormatting sqref="C42:AG42">
    <cfRule type="expression" dxfId="5253" priority="264">
      <formula>C42&gt;$AG42</formula>
    </cfRule>
  </conditionalFormatting>
  <conditionalFormatting sqref="C97:AF97">
    <cfRule type="expression" dxfId="5252" priority="260">
      <formula>C$9&gt;=20/24</formula>
    </cfRule>
    <cfRule type="expression" dxfId="5251" priority="261">
      <formula>AND(C$9&gt;=14/24,C$9&lt;20/24)</formula>
    </cfRule>
    <cfRule type="expression" dxfId="5250" priority="262">
      <formula>AND(C$9&gt;=8/24,C$9&lt;14/24)</formula>
    </cfRule>
    <cfRule type="expression" dxfId="5249" priority="263">
      <formula>C$9&lt;8/24</formula>
    </cfRule>
  </conditionalFormatting>
  <conditionalFormatting sqref="AL31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5248" priority="249">
      <formula>$AH31=0</formula>
    </cfRule>
  </conditionalFormatting>
  <conditionalFormatting sqref="A80">
    <cfRule type="expression" dxfId="5247" priority="247">
      <formula>$AH80=0</formula>
    </cfRule>
  </conditionalFormatting>
  <conditionalFormatting sqref="A77">
    <cfRule type="expression" dxfId="5246" priority="248">
      <formula>$AH77=0</formula>
    </cfRule>
  </conditionalFormatting>
  <conditionalFormatting sqref="A106">
    <cfRule type="expression" dxfId="5245" priority="238">
      <formula>$AH106=0</formula>
    </cfRule>
  </conditionalFormatting>
  <conditionalFormatting sqref="B99:B105 B11:L11">
    <cfRule type="expression" dxfId="5244" priority="234">
      <formula>B$9&gt;=20/24</formula>
    </cfRule>
    <cfRule type="expression" dxfId="5243" priority="235">
      <formula>AND(B$9&gt;=14/24,B$9&lt;20/24)</formula>
    </cfRule>
    <cfRule type="expression" dxfId="5242" priority="236">
      <formula>AND(B$9&gt;=8/24,B$9&lt;14/24)</formula>
    </cfRule>
    <cfRule type="expression" dxfId="5241" priority="237">
      <formula>B$9&lt;8/24</formula>
    </cfRule>
  </conditionalFormatting>
  <conditionalFormatting sqref="B37:D37">
    <cfRule type="expression" dxfId="5240" priority="230">
      <formula>B$9&gt;=20/24</formula>
    </cfRule>
    <cfRule type="expression" dxfId="5239" priority="231">
      <formula>AND(B$9&gt;=14/24,B$9&lt;20/24)</formula>
    </cfRule>
    <cfRule type="expression" dxfId="5238" priority="232">
      <formula>AND(B$9&gt;=8/24,B$9&lt;14/24)</formula>
    </cfRule>
    <cfRule type="expression" dxfId="5237" priority="233">
      <formula>B$9&lt;8/24</formula>
    </cfRule>
  </conditionalFormatting>
  <conditionalFormatting sqref="B37:D37 B11:L16 B35:R35">
    <cfRule type="expression" dxfId="5236" priority="229">
      <formula>B11&gt;$AG11</formula>
    </cfRule>
  </conditionalFormatting>
  <conditionalFormatting sqref="B89">
    <cfRule type="expression" dxfId="5235" priority="225">
      <formula>B$9&gt;=20/24</formula>
    </cfRule>
    <cfRule type="expression" dxfId="5234" priority="226">
      <formula>AND(B$9&gt;=14/24,B$9&lt;20/24)</formula>
    </cfRule>
    <cfRule type="expression" dxfId="5233" priority="227">
      <formula>AND(B$9&gt;=8/24,B$9&lt;14/24)</formula>
    </cfRule>
    <cfRule type="expression" dxfId="5232" priority="228">
      <formula>B$9&lt;8/24</formula>
    </cfRule>
  </conditionalFormatting>
  <conditionalFormatting sqref="B61 B44:B45 B36:R36">
    <cfRule type="expression" dxfId="5231" priority="221">
      <formula>B$9&gt;=20/24</formula>
    </cfRule>
    <cfRule type="expression" dxfId="5230" priority="222">
      <formula>AND(B$9&gt;=14/24,B$9&lt;20/24)</formula>
    </cfRule>
    <cfRule type="expression" dxfId="5229" priority="223">
      <formula>AND(B$9&gt;=8/24,B$9&lt;14/24)</formula>
    </cfRule>
    <cfRule type="expression" dxfId="5228" priority="224">
      <formula>B$9&lt;8/24</formula>
    </cfRule>
  </conditionalFormatting>
  <conditionalFormatting sqref="B43">
    <cfRule type="expression" dxfId="5227" priority="217">
      <formula>B$9&gt;=20/24</formula>
    </cfRule>
    <cfRule type="expression" dxfId="5226" priority="218">
      <formula>AND(B$9&gt;=14/24,B$9&lt;20/24)</formula>
    </cfRule>
    <cfRule type="expression" dxfId="5225" priority="219">
      <formula>AND(B$9&gt;=8/24,B$9&lt;14/24)</formula>
    </cfRule>
    <cfRule type="expression" dxfId="5224" priority="220">
      <formula>B$9&lt;8/24</formula>
    </cfRule>
  </conditionalFormatting>
  <conditionalFormatting sqref="B43:B45 B36:R36">
    <cfRule type="expression" dxfId="5223" priority="216">
      <formula>B36&gt;$AG36</formula>
    </cfRule>
  </conditionalFormatting>
  <conditionalFormatting sqref="B86 B62:B71 B73:B76 B57:B59 B90 C73:C75 B12:L14 B16:L16 B18:N21 B25:R26 B32:R32 B28:R30 B22:R22 B24:AB24">
    <cfRule type="expression" dxfId="5222" priority="212">
      <formula>B$9&gt;=20/24</formula>
    </cfRule>
    <cfRule type="expression" dxfId="5221" priority="213">
      <formula>AND(B$9&gt;=14/24,B$9&lt;20/24)</formula>
    </cfRule>
    <cfRule type="expression" dxfId="5220" priority="214">
      <formula>AND(B$9&gt;=8/24,B$9&lt;14/24)</formula>
    </cfRule>
    <cfRule type="expression" dxfId="5219" priority="215">
      <formula>B$9&lt;8/24</formula>
    </cfRule>
  </conditionalFormatting>
  <conditionalFormatting sqref="B33:R33">
    <cfRule type="expression" dxfId="5218" priority="208">
      <formula>B$9&gt;=20/24</formula>
    </cfRule>
    <cfRule type="expression" dxfId="5217" priority="209">
      <formula>AND(B$9&gt;=14/24,B$9&lt;20/24)</formula>
    </cfRule>
    <cfRule type="expression" dxfId="5216" priority="210">
      <formula>AND(B$9&gt;=8/24,B$9&lt;14/24)</formula>
    </cfRule>
    <cfRule type="expression" dxfId="5215" priority="211">
      <formula>B$9&lt;8/24</formula>
    </cfRule>
  </conditionalFormatting>
  <conditionalFormatting sqref="B55 B46:B47 B57:B59 B18:N21 B32:R33 B25:R30 B22:R22 B24:AB24">
    <cfRule type="expression" dxfId="5214" priority="207">
      <formula>B18&gt;$AG18</formula>
    </cfRule>
  </conditionalFormatting>
  <conditionalFormatting sqref="B35:R35">
    <cfRule type="expression" dxfId="5213" priority="203">
      <formula>B$9&gt;=20/24</formula>
    </cfRule>
    <cfRule type="expression" dxfId="5212" priority="204">
      <formula>AND(B$9&gt;=14/24,B$9&lt;20/24)</formula>
    </cfRule>
    <cfRule type="expression" dxfId="5211" priority="205">
      <formula>AND(B$9&gt;=8/24,B$9&lt;14/24)</formula>
    </cfRule>
    <cfRule type="expression" dxfId="5210" priority="206">
      <formula>B$9&lt;8/24</formula>
    </cfRule>
  </conditionalFormatting>
  <conditionalFormatting sqref="B15:L15">
    <cfRule type="expression" dxfId="5209" priority="199">
      <formula>B$9&gt;=20/24</formula>
    </cfRule>
    <cfRule type="expression" dxfId="5208" priority="200">
      <formula>AND(B$9&gt;=14/24,B$9&lt;20/24)</formula>
    </cfRule>
    <cfRule type="expression" dxfId="5207" priority="201">
      <formula>AND(B$9&gt;=8/24,B$9&lt;14/24)</formula>
    </cfRule>
    <cfRule type="expression" dxfId="5206" priority="202">
      <formula>B$9&lt;8/24</formula>
    </cfRule>
  </conditionalFormatting>
  <conditionalFormatting sqref="B34:R34">
    <cfRule type="expression" dxfId="5205" priority="195">
      <formula>B$9&gt;=20/24</formula>
    </cfRule>
    <cfRule type="expression" dxfId="5204" priority="196">
      <formula>AND(B$9&gt;=14/24,B$9&lt;20/24)</formula>
    </cfRule>
    <cfRule type="expression" dxfId="5203" priority="197">
      <formula>AND(B$9&gt;=8/24,B$9&lt;14/24)</formula>
    </cfRule>
    <cfRule type="expression" dxfId="5202" priority="198">
      <formula>B$9&lt;8/24</formula>
    </cfRule>
  </conditionalFormatting>
  <conditionalFormatting sqref="B34:R34">
    <cfRule type="expression" dxfId="5201" priority="194">
      <formula>B34&gt;$AG34</formula>
    </cfRule>
  </conditionalFormatting>
  <conditionalFormatting sqref="B48:B54">
    <cfRule type="expression" dxfId="5200" priority="190">
      <formula>B$9&gt;=20/24</formula>
    </cfRule>
    <cfRule type="expression" dxfId="5199" priority="191">
      <formula>AND(B$9&gt;=14/24,B$9&lt;20/24)</formula>
    </cfRule>
    <cfRule type="expression" dxfId="5198" priority="192">
      <formula>AND(B$9&gt;=8/24,B$9&lt;14/24)</formula>
    </cfRule>
    <cfRule type="expression" dxfId="5197" priority="193">
      <formula>B$9&lt;8/24</formula>
    </cfRule>
  </conditionalFormatting>
  <conditionalFormatting sqref="B48:B54">
    <cfRule type="expression" dxfId="5196" priority="189">
      <formula>B48&gt;$AG48</formula>
    </cfRule>
  </conditionalFormatting>
  <conditionalFormatting sqref="B27:R27">
    <cfRule type="expression" dxfId="5195" priority="185">
      <formula>B$9&gt;=20/24</formula>
    </cfRule>
    <cfRule type="expression" dxfId="5194" priority="186">
      <formula>AND(B$9&gt;=14/24,B$9&lt;20/24)</formula>
    </cfRule>
    <cfRule type="expression" dxfId="5193" priority="187">
      <formula>AND(B$9&gt;=8/24,B$9&lt;14/24)</formula>
    </cfRule>
    <cfRule type="expression" dxfId="5192" priority="188">
      <formula>B$9&lt;8/24</formula>
    </cfRule>
  </conditionalFormatting>
  <conditionalFormatting sqref="B17:L17 B23:R23">
    <cfRule type="expression" dxfId="5191" priority="181">
      <formula>B$9&gt;=20/24</formula>
    </cfRule>
    <cfRule type="expression" dxfId="5190" priority="182">
      <formula>AND(B$9&gt;=14/24,B$9&lt;20/24)</formula>
    </cfRule>
    <cfRule type="expression" dxfId="5189" priority="183">
      <formula>AND(B$9&gt;=8/24,B$9&lt;14/24)</formula>
    </cfRule>
    <cfRule type="expression" dxfId="5188" priority="184">
      <formula>B$9&lt;8/24</formula>
    </cfRule>
  </conditionalFormatting>
  <conditionalFormatting sqref="B17:L17 B23:R23">
    <cfRule type="expression" dxfId="5187" priority="180">
      <formula>B17&gt;$AG17</formula>
    </cfRule>
  </conditionalFormatting>
  <conditionalFormatting sqref="B87 B78">
    <cfRule type="expression" dxfId="5186" priority="176">
      <formula>B$9&gt;=20/24</formula>
    </cfRule>
    <cfRule type="expression" dxfId="5185" priority="177">
      <formula>AND(B$9&gt;=14/24,B$9&lt;20/24)</formula>
    </cfRule>
    <cfRule type="expression" dxfId="5184" priority="178">
      <formula>AND(B$9&gt;=8/24,B$9&lt;14/24)</formula>
    </cfRule>
    <cfRule type="expression" dxfId="5183" priority="179">
      <formula>B$9&lt;8/24</formula>
    </cfRule>
  </conditionalFormatting>
  <conditionalFormatting sqref="B79 B60 B77 B88">
    <cfRule type="expression" dxfId="5182" priority="172">
      <formula>B$9&gt;=20/24</formula>
    </cfRule>
    <cfRule type="expression" dxfId="5181" priority="173">
      <formula>AND(B$9&gt;=14/24,B$9&lt;20/24)</formula>
    </cfRule>
    <cfRule type="expression" dxfId="5180" priority="174">
      <formula>AND(B$9&gt;=8/24,B$9&lt;14/24)</formula>
    </cfRule>
    <cfRule type="expression" dxfId="5179" priority="175">
      <formula>B$9&lt;8/24</formula>
    </cfRule>
  </conditionalFormatting>
  <conditionalFormatting sqref="B38 B56 B60">
    <cfRule type="expression" dxfId="5178" priority="171">
      <formula>B38&gt;$AG38</formula>
    </cfRule>
  </conditionalFormatting>
  <conditionalFormatting sqref="B72">
    <cfRule type="expression" dxfId="5177" priority="167">
      <formula>B$9&gt;=20/24</formula>
    </cfRule>
    <cfRule type="expression" dxfId="5176" priority="168">
      <formula>AND(B$9&gt;=14/24,B$9&lt;20/24)</formula>
    </cfRule>
    <cfRule type="expression" dxfId="5175" priority="169">
      <formula>AND(B$9&gt;=8/24,B$9&lt;14/24)</formula>
    </cfRule>
    <cfRule type="expression" dxfId="5174" priority="170">
      <formula>B$9&lt;8/24</formula>
    </cfRule>
  </conditionalFormatting>
  <conditionalFormatting sqref="B81:B85">
    <cfRule type="expression" dxfId="5173" priority="163">
      <formula>B$9&gt;=20/24</formula>
    </cfRule>
    <cfRule type="expression" dxfId="5172" priority="164">
      <formula>AND(B$9&gt;=14/24,B$9&lt;20/24)</formula>
    </cfRule>
    <cfRule type="expression" dxfId="5171" priority="165">
      <formula>AND(B$9&gt;=8/24,B$9&lt;14/24)</formula>
    </cfRule>
    <cfRule type="expression" dxfId="5170" priority="166">
      <formula>B$9&lt;8/24</formula>
    </cfRule>
  </conditionalFormatting>
  <conditionalFormatting sqref="B39:R41">
    <cfRule type="expression" dxfId="5169" priority="159">
      <formula>B$9&gt;=20/24</formula>
    </cfRule>
    <cfRule type="expression" dxfId="5168" priority="160">
      <formula>AND(B$9&gt;=14/24,B$9&lt;20/24)</formula>
    </cfRule>
    <cfRule type="expression" dxfId="5167" priority="161">
      <formula>AND(B$9&gt;=8/24,B$9&lt;14/24)</formula>
    </cfRule>
    <cfRule type="expression" dxfId="5166" priority="162">
      <formula>B$9&lt;8/24</formula>
    </cfRule>
  </conditionalFormatting>
  <conditionalFormatting sqref="B39:R41">
    <cfRule type="expression" dxfId="5165" priority="158">
      <formula>B39&gt;$AG39</formula>
    </cfRule>
  </conditionalFormatting>
  <conditionalFormatting sqref="B42">
    <cfRule type="expression" dxfId="5164" priority="154">
      <formula>B$9&gt;=20/24</formula>
    </cfRule>
    <cfRule type="expression" dxfId="5163" priority="155">
      <formula>AND(B$9&gt;=14/24,B$9&lt;20/24)</formula>
    </cfRule>
    <cfRule type="expression" dxfId="5162" priority="156">
      <formula>AND(B$9&gt;=8/24,B$9&lt;14/24)</formula>
    </cfRule>
    <cfRule type="expression" dxfId="5161" priority="157">
      <formula>B$9&lt;8/24</formula>
    </cfRule>
  </conditionalFormatting>
  <conditionalFormatting sqref="B42">
    <cfRule type="expression" dxfId="5160" priority="153">
      <formula>B42&gt;$AG42</formula>
    </cfRule>
  </conditionalFormatting>
  <conditionalFormatting sqref="B97">
    <cfRule type="expression" dxfId="5159" priority="149">
      <formula>B$9&gt;=20/24</formula>
    </cfRule>
    <cfRule type="expression" dxfId="5158" priority="150">
      <formula>AND(B$9&gt;=14/24,B$9&lt;20/24)</formula>
    </cfRule>
    <cfRule type="expression" dxfId="5157" priority="151">
      <formula>AND(B$9&gt;=8/24,B$9&lt;14/24)</formula>
    </cfRule>
    <cfRule type="expression" dxfId="5156" priority="152">
      <formula>B$9&lt;8/24</formula>
    </cfRule>
  </conditionalFormatting>
  <conditionalFormatting sqref="S14:AF19">
    <cfRule type="expression" dxfId="5155" priority="139">
      <formula>S14&gt;$AG14</formula>
    </cfRule>
  </conditionalFormatting>
  <conditionalFormatting sqref="S19:AF19 S14:AF17">
    <cfRule type="expression" dxfId="5154" priority="135">
      <formula>S$9&gt;=20/24</formula>
    </cfRule>
    <cfRule type="expression" dxfId="5153" priority="136">
      <formula>AND(S$9&gt;=14/24,S$9&lt;20/24)</formula>
    </cfRule>
    <cfRule type="expression" dxfId="5152" priority="137">
      <formula>AND(S$9&gt;=8/24,S$9&lt;14/24)</formula>
    </cfRule>
    <cfRule type="expression" dxfId="5151" priority="138">
      <formula>S$9&lt;8/24</formula>
    </cfRule>
  </conditionalFormatting>
  <conditionalFormatting sqref="S14:AF14">
    <cfRule type="expression" dxfId="5150" priority="134">
      <formula>S14&gt;$AG14</formula>
    </cfRule>
  </conditionalFormatting>
  <conditionalFormatting sqref="S18:AF18">
    <cfRule type="expression" dxfId="5149" priority="130">
      <formula>S$9&gt;=20/24</formula>
    </cfRule>
    <cfRule type="expression" dxfId="5148" priority="131">
      <formula>AND(S$9&gt;=14/24,S$9&lt;20/24)</formula>
    </cfRule>
    <cfRule type="expression" dxfId="5147" priority="132">
      <formula>AND(S$9&gt;=8/24,S$9&lt;14/24)</formula>
    </cfRule>
    <cfRule type="expression" dxfId="5146" priority="133">
      <formula>S$9&lt;8/24</formula>
    </cfRule>
  </conditionalFormatting>
  <conditionalFormatting sqref="S20:AF20">
    <cfRule type="expression" dxfId="5145" priority="126">
      <formula>S$9&gt;=20/24</formula>
    </cfRule>
    <cfRule type="expression" dxfId="5144" priority="127">
      <formula>AND(S$9&gt;=14/24,S$9&lt;20/24)</formula>
    </cfRule>
    <cfRule type="expression" dxfId="5143" priority="128">
      <formula>AND(S$9&gt;=8/24,S$9&lt;14/24)</formula>
    </cfRule>
    <cfRule type="expression" dxfId="5142" priority="129">
      <formula>S$9&lt;8/24</formula>
    </cfRule>
  </conditionalFormatting>
  <conditionalFormatting sqref="S20:AF20">
    <cfRule type="expression" dxfId="5141" priority="125">
      <formula>S20&gt;$AG20</formula>
    </cfRule>
  </conditionalFormatting>
  <conditionalFormatting sqref="S55">
    <cfRule type="expression" dxfId="5140" priority="81">
      <formula>S55&gt;$AG55</formula>
    </cfRule>
  </conditionalFormatting>
  <conditionalFormatting sqref="S43:AF54">
    <cfRule type="expression" dxfId="5139" priority="77">
      <formula>S$9&gt;=20/24</formula>
    </cfRule>
    <cfRule type="expression" dxfId="5138" priority="78">
      <formula>AND(S$9&gt;=14/24,S$9&lt;20/24)</formula>
    </cfRule>
    <cfRule type="expression" dxfId="5137" priority="79">
      <formula>AND(S$9&gt;=8/24,S$9&lt;14/24)</formula>
    </cfRule>
    <cfRule type="expression" dxfId="5136" priority="80">
      <formula>S$9&lt;8/24</formula>
    </cfRule>
  </conditionalFormatting>
  <conditionalFormatting sqref="S43:AF54">
    <cfRule type="expression" dxfId="5135" priority="76">
      <formula>S43&gt;$AG43</formula>
    </cfRule>
  </conditionalFormatting>
  <conditionalFormatting sqref="S61">
    <cfRule type="expression" dxfId="5134" priority="72">
      <formula>S$9&gt;=20/24</formula>
    </cfRule>
    <cfRule type="expression" dxfId="5133" priority="73">
      <formula>AND(S$9&gt;=14/24,S$9&lt;20/24)</formula>
    </cfRule>
    <cfRule type="expression" dxfId="5132" priority="74">
      <formula>AND(S$9&gt;=8/24,S$9&lt;14/24)</formula>
    </cfRule>
    <cfRule type="expression" dxfId="5131" priority="75">
      <formula>S$9&lt;8/24</formula>
    </cfRule>
  </conditionalFormatting>
  <conditionalFormatting sqref="S62:S67 S71:T71 T64:T67">
    <cfRule type="expression" dxfId="5130" priority="68">
      <formula>S$9&gt;=20/24</formula>
    </cfRule>
    <cfRule type="expression" dxfId="5129" priority="69">
      <formula>AND(S$9&gt;=14/24,S$9&lt;20/24)</formula>
    </cfRule>
    <cfRule type="expression" dxfId="5128" priority="70">
      <formula>AND(S$9&gt;=8/24,S$9&lt;14/24)</formula>
    </cfRule>
    <cfRule type="expression" dxfId="5127" priority="71">
      <formula>S$9&lt;8/24</formula>
    </cfRule>
  </conditionalFormatting>
  <conditionalFormatting sqref="S68:T70">
    <cfRule type="expression" dxfId="5126" priority="64">
      <formula>S$9&gt;=20/24</formula>
    </cfRule>
    <cfRule type="expression" dxfId="5125" priority="65">
      <formula>AND(S$9&gt;=14/24,S$9&lt;20/24)</formula>
    </cfRule>
    <cfRule type="expression" dxfId="5124" priority="66">
      <formula>AND(S$9&gt;=8/24,S$9&lt;14/24)</formula>
    </cfRule>
    <cfRule type="expression" dxfId="5123" priority="67">
      <formula>S$9&lt;8/24</formula>
    </cfRule>
  </conditionalFormatting>
  <conditionalFormatting sqref="S89">
    <cfRule type="expression" dxfId="5122" priority="60">
      <formula>S$9&gt;=20/24</formula>
    </cfRule>
    <cfRule type="expression" dxfId="5121" priority="61">
      <formula>AND(S$9&gt;=14/24,S$9&lt;20/24)</formula>
    </cfRule>
    <cfRule type="expression" dxfId="5120" priority="62">
      <formula>AND(S$9&gt;=8/24,S$9&lt;14/24)</formula>
    </cfRule>
    <cfRule type="expression" dxfId="5119" priority="63">
      <formula>S$9&lt;8/24</formula>
    </cfRule>
  </conditionalFormatting>
  <conditionalFormatting sqref="S90:S96 T93:T96">
    <cfRule type="expression" dxfId="5118" priority="56">
      <formula>S$9&gt;=20/24</formula>
    </cfRule>
    <cfRule type="expression" dxfId="5117" priority="57">
      <formula>AND(S$9&gt;=14/24,S$9&lt;20/24)</formula>
    </cfRule>
    <cfRule type="expression" dxfId="5116" priority="58">
      <formula>AND(S$9&gt;=8/24,S$9&lt;14/24)</formula>
    </cfRule>
    <cfRule type="expression" dxfId="5115" priority="59">
      <formula>S$9&lt;8/24</formula>
    </cfRule>
  </conditionalFormatting>
  <conditionalFormatting sqref="S11:AF11">
    <cfRule type="expression" dxfId="5114" priority="55">
      <formula>S11&gt;$AG11</formula>
    </cfRule>
  </conditionalFormatting>
  <conditionalFormatting sqref="S38">
    <cfRule type="expression" dxfId="5113" priority="54">
      <formula>S38&gt;$AG38</formula>
    </cfRule>
  </conditionalFormatting>
  <conditionalFormatting sqref="S37:AE37 S21:AF21">
    <cfRule type="expression" dxfId="5112" priority="45">
      <formula>S$9&gt;=20/24</formula>
    </cfRule>
    <cfRule type="expression" dxfId="5111" priority="46">
      <formula>AND(S$9&gt;=14/24,S$9&lt;20/24)</formula>
    </cfRule>
    <cfRule type="expression" dxfId="5110" priority="47">
      <formula>AND(S$9&gt;=8/24,S$9&lt;14/24)</formula>
    </cfRule>
    <cfRule type="expression" dxfId="5109" priority="48">
      <formula>S$9&lt;8/24</formula>
    </cfRule>
  </conditionalFormatting>
  <conditionalFormatting sqref="S37:AE37 S21:AF21">
    <cfRule type="expression" dxfId="5108" priority="44">
      <formula>S21&gt;$AG21</formula>
    </cfRule>
  </conditionalFormatting>
  <conditionalFormatting sqref="S35:AF35">
    <cfRule type="expression" dxfId="5107" priority="43">
      <formula>S35&gt;$AG35</formula>
    </cfRule>
  </conditionalFormatting>
  <conditionalFormatting sqref="S36:AF36">
    <cfRule type="expression" dxfId="5106" priority="39">
      <formula>S$9&gt;=20/24</formula>
    </cfRule>
    <cfRule type="expression" dxfId="5105" priority="40">
      <formula>AND(S$9&gt;=14/24,S$9&lt;20/24)</formula>
    </cfRule>
    <cfRule type="expression" dxfId="5104" priority="41">
      <formula>AND(S$9&gt;=8/24,S$9&lt;14/24)</formula>
    </cfRule>
    <cfRule type="expression" dxfId="5103" priority="42">
      <formula>S$9&lt;8/24</formula>
    </cfRule>
  </conditionalFormatting>
  <conditionalFormatting sqref="S36:AF36">
    <cfRule type="expression" dxfId="5102" priority="38">
      <formula>S36&gt;$AG36</formula>
    </cfRule>
  </conditionalFormatting>
  <conditionalFormatting sqref="S25:AF26 S32:AF32 S28:AF30 S22:AF22 AC24:AF24">
    <cfRule type="expression" dxfId="5101" priority="34">
      <formula>S$9&gt;=20/24</formula>
    </cfRule>
    <cfRule type="expression" dxfId="5100" priority="35">
      <formula>AND(S$9&gt;=14/24,S$9&lt;20/24)</formula>
    </cfRule>
    <cfRule type="expression" dxfId="5099" priority="36">
      <formula>AND(S$9&gt;=8/24,S$9&lt;14/24)</formula>
    </cfRule>
    <cfRule type="expression" dxfId="5098" priority="37">
      <formula>S$9&lt;8/24</formula>
    </cfRule>
  </conditionalFormatting>
  <conditionalFormatting sqref="S33:AF33">
    <cfRule type="expression" dxfId="5097" priority="30">
      <formula>S$9&gt;=20/24</formula>
    </cfRule>
    <cfRule type="expression" dxfId="5096" priority="31">
      <formula>AND(S$9&gt;=14/24,S$9&lt;20/24)</formula>
    </cfRule>
    <cfRule type="expression" dxfId="5095" priority="32">
      <formula>AND(S$9&gt;=8/24,S$9&lt;14/24)</formula>
    </cfRule>
    <cfRule type="expression" dxfId="5094" priority="33">
      <formula>S$9&lt;8/24</formula>
    </cfRule>
  </conditionalFormatting>
  <conditionalFormatting sqref="S32:AF33 S25:AF30 S22:AF22 AC24:AF24">
    <cfRule type="expression" dxfId="5093" priority="29">
      <formula>S22&gt;$AG22</formula>
    </cfRule>
  </conditionalFormatting>
  <conditionalFormatting sqref="S35:AF35">
    <cfRule type="expression" dxfId="5092" priority="25">
      <formula>S$9&gt;=20/24</formula>
    </cfRule>
    <cfRule type="expression" dxfId="5091" priority="26">
      <formula>AND(S$9&gt;=14/24,S$9&lt;20/24)</formula>
    </cfRule>
    <cfRule type="expression" dxfId="5090" priority="27">
      <formula>AND(S$9&gt;=8/24,S$9&lt;14/24)</formula>
    </cfRule>
    <cfRule type="expression" dxfId="5089" priority="28">
      <formula>S$9&lt;8/24</formula>
    </cfRule>
  </conditionalFormatting>
  <conditionalFormatting sqref="S34:AF34">
    <cfRule type="expression" dxfId="5088" priority="21">
      <formula>S$9&gt;=20/24</formula>
    </cfRule>
    <cfRule type="expression" dxfId="5087" priority="22">
      <formula>AND(S$9&gt;=14/24,S$9&lt;20/24)</formula>
    </cfRule>
    <cfRule type="expression" dxfId="5086" priority="23">
      <formula>AND(S$9&gt;=8/24,S$9&lt;14/24)</formula>
    </cfRule>
    <cfRule type="expression" dxfId="5085" priority="24">
      <formula>S$9&lt;8/24</formula>
    </cfRule>
  </conditionalFormatting>
  <conditionalFormatting sqref="S34:AF34">
    <cfRule type="expression" dxfId="5084" priority="20">
      <formula>S34&gt;$AG34</formula>
    </cfRule>
  </conditionalFormatting>
  <conditionalFormatting sqref="S27:AF27">
    <cfRule type="expression" dxfId="5083" priority="16">
      <formula>S$9&gt;=20/24</formula>
    </cfRule>
    <cfRule type="expression" dxfId="5082" priority="17">
      <formula>AND(S$9&gt;=14/24,S$9&lt;20/24)</formula>
    </cfRule>
    <cfRule type="expression" dxfId="5081" priority="18">
      <formula>AND(S$9&gt;=8/24,S$9&lt;14/24)</formula>
    </cfRule>
    <cfRule type="expression" dxfId="5080" priority="19">
      <formula>S$9&lt;8/24</formula>
    </cfRule>
  </conditionalFormatting>
  <conditionalFormatting sqref="S23:AF23">
    <cfRule type="expression" dxfId="5079" priority="12">
      <formula>S$9&gt;=20/24</formula>
    </cfRule>
    <cfRule type="expression" dxfId="5078" priority="13">
      <formula>AND(S$9&gt;=14/24,S$9&lt;20/24)</formula>
    </cfRule>
    <cfRule type="expression" dxfId="5077" priority="14">
      <formula>AND(S$9&gt;=8/24,S$9&lt;14/24)</formula>
    </cfRule>
    <cfRule type="expression" dxfId="5076" priority="15">
      <formula>S$9&lt;8/24</formula>
    </cfRule>
  </conditionalFormatting>
  <conditionalFormatting sqref="S23:AF23">
    <cfRule type="expression" dxfId="5075" priority="11">
      <formula>S23&gt;$AG23</formula>
    </cfRule>
  </conditionalFormatting>
  <conditionalFormatting sqref="S39:AF41">
    <cfRule type="expression" dxfId="5074" priority="2">
      <formula>S$9&gt;=20/24</formula>
    </cfRule>
    <cfRule type="expression" dxfId="5073" priority="3">
      <formula>AND(S$9&gt;=14/24,S$9&lt;20/24)</formula>
    </cfRule>
    <cfRule type="expression" dxfId="5072" priority="4">
      <formula>AND(S$9&gt;=8/24,S$9&lt;14/24)</formula>
    </cfRule>
    <cfRule type="expression" dxfId="5071" priority="5">
      <formula>S$9&lt;8/24</formula>
    </cfRule>
  </conditionalFormatting>
  <conditionalFormatting sqref="S39:AF41">
    <cfRule type="expression" dxfId="5070" priority="1">
      <formula>S39&gt;$AG39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1" id="{0EC6EAA4-A0D0-45C7-9744-A4D8700D0A9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2" id="{C94F45F6-5D8C-49AB-8E86-97DCC7363CA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3" id="{011934B1-A748-4B62-A4E7-ECB9FC097F9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4" id="{14FB1F21-0817-482E-BE12-42F3DE11594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C80:AF80</xm:sqref>
        </x14:conditionalFormatting>
        <x14:conditionalFormatting xmlns:xm="http://schemas.microsoft.com/office/excel/2006/main">
          <x14:cfRule type="expression" priority="243" id="{CB0D27B7-1C90-40CA-A67F-65D402D1E5F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44" id="{B56C402B-4EBB-4323-B7D4-5CAE97CD92B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5" id="{81D79FD0-4AE0-4BE7-A60C-31CACCE5276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46" id="{37100E6C-A516-4ECC-8221-2A3A6A4C6AA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145" id="{5D7FF2AE-02FE-4A70-A98E-9BDBF0060A5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6" id="{0CE9B797-CAAF-43C5-BACC-7EDA0A3B586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7" id="{B27A27B2-B3DC-4368-B3AA-BE48C077525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8" id="{D0358F19-A81E-49FD-8F3A-6AAFE6CFA50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 B31:R31</xm:sqref>
        </x14:conditionalFormatting>
        <x14:conditionalFormatting xmlns:xm="http://schemas.microsoft.com/office/excel/2006/main">
          <x14:cfRule type="expression" priority="144" id="{F2F3F678-CF58-4B6E-9110-0208DF411CEF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B31:R31</xm:sqref>
        </x14:conditionalFormatting>
        <x14:conditionalFormatting xmlns:xm="http://schemas.microsoft.com/office/excel/2006/main">
          <x14:cfRule type="expression" priority="140" id="{E55E3DB2-B71E-4949-B525-7FEF24A7F1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1" id="{94928EF5-3820-4E8E-86A5-B1DD053B322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2" id="{46823E07-66FA-4DD3-9943-E270F067AB8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3" id="{DFA220DC-F4DE-46EE-91D9-5697B4B1AAE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  <x14:conditionalFormatting xmlns:xm="http://schemas.microsoft.com/office/excel/2006/main">
          <x14:cfRule type="expression" priority="7" id="{59B6C7F5-B50D-4A66-B804-694A973DC5D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" id="{815BDAF9-4F3C-45D2-907F-36330B3E13F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" id="{2D7D9965-03B0-4A8E-930F-8A582A16C83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" id="{19700760-349A-45B8-AE18-B735B9704B1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S31:AF31</xm:sqref>
        </x14:conditionalFormatting>
        <x14:conditionalFormatting xmlns:xm="http://schemas.microsoft.com/office/excel/2006/main">
          <x14:cfRule type="expression" priority="6" id="{E42BB6D6-EF13-4530-A464-52FF10E64AAB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S31:AF31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CJ493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G77" sqref="G77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2079/02/14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4.5</v>
      </c>
      <c r="C5" s="205">
        <f t="shared" si="0"/>
        <v>4.5</v>
      </c>
      <c r="D5" s="205">
        <f t="shared" si="0"/>
        <v>4.5</v>
      </c>
      <c r="E5" s="205">
        <f t="shared" si="0"/>
        <v>4.5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33.700000000000003</v>
      </c>
      <c r="Z5" s="205">
        <f t="shared" si="0"/>
        <v>62.5</v>
      </c>
      <c r="AA5" s="205">
        <f t="shared" si="0"/>
        <v>51.8</v>
      </c>
      <c r="AB5" s="205">
        <f t="shared" si="0"/>
        <v>57.3</v>
      </c>
      <c r="AC5" s="205">
        <f t="shared" si="0"/>
        <v>71</v>
      </c>
      <c r="AD5" s="205">
        <f t="shared" si="0"/>
        <v>76.400000000000006</v>
      </c>
      <c r="AE5" s="205">
        <f t="shared" si="0"/>
        <v>4.5</v>
      </c>
      <c r="AF5" s="205">
        <f>B72</f>
        <v>4.5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1712MW at 4:60hr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Load=1689</v>
      </c>
      <c r="B7" s="210">
        <f>B79</f>
        <v>1792.4399999999998</v>
      </c>
      <c r="C7" s="210">
        <f t="shared" ref="C7:AF7" si="1">C79</f>
        <v>1775.9399999999998</v>
      </c>
      <c r="D7" s="210">
        <f t="shared" si="1"/>
        <v>1738.24</v>
      </c>
      <c r="E7" s="210">
        <f t="shared" si="1"/>
        <v>1738.24</v>
      </c>
      <c r="F7" s="210">
        <f t="shared" si="1"/>
        <v>1716.14</v>
      </c>
      <c r="G7" s="210">
        <f t="shared" si="1"/>
        <v>1711.64</v>
      </c>
      <c r="H7" s="210">
        <f t="shared" si="1"/>
        <v>1711.64</v>
      </c>
      <c r="I7" s="210">
        <f t="shared" si="1"/>
        <v>1711.64</v>
      </c>
      <c r="J7" s="210">
        <f t="shared" si="1"/>
        <v>1695.64</v>
      </c>
      <c r="K7" s="210">
        <f t="shared" si="1"/>
        <v>1694.64</v>
      </c>
      <c r="L7" s="210">
        <f t="shared" si="1"/>
        <v>1694.64</v>
      </c>
      <c r="M7" s="210">
        <f t="shared" si="1"/>
        <v>1695.64</v>
      </c>
      <c r="N7" s="210">
        <f t="shared" si="1"/>
        <v>1695.64</v>
      </c>
      <c r="O7" s="210">
        <f t="shared" si="1"/>
        <v>1702.14</v>
      </c>
      <c r="P7" s="210">
        <f t="shared" si="1"/>
        <v>1702.14</v>
      </c>
      <c r="Q7" s="210">
        <f t="shared" si="1"/>
        <v>1702.14</v>
      </c>
      <c r="R7" s="210">
        <f t="shared" si="1"/>
        <v>1702.14</v>
      </c>
      <c r="S7" s="210">
        <f t="shared" si="1"/>
        <v>1741.24</v>
      </c>
      <c r="T7" s="210">
        <f t="shared" si="1"/>
        <v>1745.54</v>
      </c>
      <c r="U7" s="210">
        <f t="shared" si="1"/>
        <v>1689.24</v>
      </c>
      <c r="V7" s="210">
        <f t="shared" si="1"/>
        <v>1694.54</v>
      </c>
      <c r="W7" s="210">
        <f t="shared" si="1"/>
        <v>1694.54</v>
      </c>
      <c r="X7" s="210">
        <f t="shared" si="1"/>
        <v>1694.54</v>
      </c>
      <c r="Y7" s="210">
        <f t="shared" si="1"/>
        <v>1772.54</v>
      </c>
      <c r="Z7" s="210">
        <f t="shared" si="1"/>
        <v>1832.44</v>
      </c>
      <c r="AA7" s="210">
        <f t="shared" si="1"/>
        <v>1853.84</v>
      </c>
      <c r="AB7" s="210">
        <f t="shared" si="1"/>
        <v>1783.24</v>
      </c>
      <c r="AC7" s="210">
        <f t="shared" si="1"/>
        <v>1768.74</v>
      </c>
      <c r="AD7" s="210">
        <f t="shared" si="1"/>
        <v>1752.2399999999998</v>
      </c>
      <c r="AE7" s="210">
        <f t="shared" si="1"/>
        <v>1758.34</v>
      </c>
      <c r="AF7" s="210">
        <f t="shared" si="1"/>
        <v>1773.7399999999998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53.5</v>
      </c>
      <c r="C11" s="221">
        <v>53.5</v>
      </c>
      <c r="D11" s="221">
        <v>53.5</v>
      </c>
      <c r="E11" s="221">
        <v>53.5</v>
      </c>
      <c r="F11" s="221">
        <v>53.5</v>
      </c>
      <c r="G11" s="221">
        <v>53.5</v>
      </c>
      <c r="H11" s="221">
        <v>53.5</v>
      </c>
      <c r="I11" s="221">
        <v>53.5</v>
      </c>
      <c r="J11" s="221">
        <v>53.5</v>
      </c>
      <c r="K11" s="221">
        <v>53.5</v>
      </c>
      <c r="L11" s="221">
        <v>53.5</v>
      </c>
      <c r="M11" s="221">
        <v>53.5</v>
      </c>
      <c r="N11" s="221">
        <v>53.5</v>
      </c>
      <c r="O11" s="221">
        <v>53.5</v>
      </c>
      <c r="P11" s="221">
        <v>53.5</v>
      </c>
      <c r="Q11" s="221">
        <v>53.5</v>
      </c>
      <c r="R11" s="221">
        <v>53.5</v>
      </c>
      <c r="S11" s="221">
        <v>53.5</v>
      </c>
      <c r="T11" s="221">
        <v>53.5</v>
      </c>
      <c r="U11" s="221">
        <v>53.5</v>
      </c>
      <c r="V11" s="221">
        <v>53.5</v>
      </c>
      <c r="W11" s="221">
        <v>53.5</v>
      </c>
      <c r="X11" s="221">
        <v>53.5</v>
      </c>
      <c r="Y11" s="221">
        <v>53.5</v>
      </c>
      <c r="Z11" s="221">
        <v>53.5</v>
      </c>
      <c r="AA11" s="224">
        <v>53.5</v>
      </c>
      <c r="AB11" s="224">
        <v>53.5</v>
      </c>
      <c r="AC11" s="224">
        <v>53.5</v>
      </c>
      <c r="AD11" s="224">
        <v>53.5</v>
      </c>
      <c r="AE11" s="224">
        <v>53.5</v>
      </c>
      <c r="AF11" s="224">
        <v>53.9</v>
      </c>
      <c r="AG11" s="225">
        <v>52.4</v>
      </c>
      <c r="AH11" s="226">
        <f>MAX(B11:AF11)</f>
        <v>53.9</v>
      </c>
      <c r="AI11" s="227">
        <f>MIN(B11:AF11)</f>
        <v>53.5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50.5</v>
      </c>
      <c r="C12" s="221">
        <v>50.5</v>
      </c>
      <c r="D12" s="221">
        <v>50.5</v>
      </c>
      <c r="E12" s="221">
        <v>50.5</v>
      </c>
      <c r="F12" s="221">
        <v>50.5</v>
      </c>
      <c r="G12" s="221">
        <v>50.5</v>
      </c>
      <c r="H12" s="221">
        <v>50.5</v>
      </c>
      <c r="I12" s="221">
        <v>50.5</v>
      </c>
      <c r="J12" s="221">
        <v>50.5</v>
      </c>
      <c r="K12" s="221">
        <v>50.5</v>
      </c>
      <c r="L12" s="221">
        <v>50.5</v>
      </c>
      <c r="M12" s="221">
        <v>50.5</v>
      </c>
      <c r="N12" s="221">
        <v>50.5</v>
      </c>
      <c r="O12" s="221">
        <v>50.5</v>
      </c>
      <c r="P12" s="221">
        <v>50.5</v>
      </c>
      <c r="Q12" s="221">
        <v>50.5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50.5</v>
      </c>
      <c r="AB12" s="221">
        <v>50.5</v>
      </c>
      <c r="AC12" s="221">
        <v>50.5</v>
      </c>
      <c r="AD12" s="221">
        <v>50.5</v>
      </c>
      <c r="AE12" s="221">
        <v>50.5</v>
      </c>
      <c r="AF12" s="221">
        <v>50.2</v>
      </c>
      <c r="AG12" s="229">
        <v>50</v>
      </c>
      <c r="AH12" s="226">
        <f t="shared" ref="AH12:AH79" si="2">MAX(B12:AF12)</f>
        <v>50.5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45.9</v>
      </c>
      <c r="C13" s="221">
        <v>45.9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45.9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36</v>
      </c>
      <c r="C14" s="221">
        <v>32</v>
      </c>
      <c r="D14" s="221">
        <v>27</v>
      </c>
      <c r="E14" s="221">
        <v>27</v>
      </c>
      <c r="F14" s="221">
        <v>27</v>
      </c>
      <c r="G14" s="221">
        <v>27</v>
      </c>
      <c r="H14" s="221">
        <v>27</v>
      </c>
      <c r="I14" s="221">
        <v>27</v>
      </c>
      <c r="J14" s="221">
        <v>27</v>
      </c>
      <c r="K14" s="221">
        <v>27</v>
      </c>
      <c r="L14" s="221">
        <v>27</v>
      </c>
      <c r="M14" s="221">
        <v>27</v>
      </c>
      <c r="N14" s="221">
        <v>27</v>
      </c>
      <c r="O14" s="221">
        <v>27</v>
      </c>
      <c r="P14" s="221">
        <v>27</v>
      </c>
      <c r="Q14" s="221">
        <v>27</v>
      </c>
      <c r="R14" s="221">
        <v>27</v>
      </c>
      <c r="S14" s="221">
        <v>27</v>
      </c>
      <c r="T14" s="221">
        <v>27</v>
      </c>
      <c r="U14" s="221">
        <v>30</v>
      </c>
      <c r="V14" s="221">
        <v>30</v>
      </c>
      <c r="W14" s="221">
        <v>27</v>
      </c>
      <c r="X14" s="221">
        <v>27</v>
      </c>
      <c r="Y14" s="221">
        <v>35</v>
      </c>
      <c r="Z14" s="221">
        <v>33</v>
      </c>
      <c r="AA14" s="221">
        <v>0</v>
      </c>
      <c r="AB14" s="221">
        <v>0</v>
      </c>
      <c r="AC14" s="221">
        <v>0</v>
      </c>
      <c r="AD14" s="221">
        <v>0</v>
      </c>
      <c r="AE14" s="221">
        <v>0</v>
      </c>
      <c r="AF14" s="221">
        <v>32</v>
      </c>
      <c r="AG14" s="229">
        <v>42</v>
      </c>
      <c r="AH14" s="226">
        <f t="shared" si="2"/>
        <v>36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20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0</v>
      </c>
      <c r="M15" s="221">
        <v>0</v>
      </c>
      <c r="N15" s="221">
        <v>0</v>
      </c>
      <c r="O15" s="221">
        <v>0</v>
      </c>
      <c r="P15" s="221">
        <v>0</v>
      </c>
      <c r="Q15" s="221">
        <v>0</v>
      </c>
      <c r="R15" s="221">
        <v>0</v>
      </c>
      <c r="S15" s="221">
        <v>10</v>
      </c>
      <c r="T15" s="221">
        <v>15</v>
      </c>
      <c r="U15" s="221">
        <v>15</v>
      </c>
      <c r="V15" s="221">
        <v>20</v>
      </c>
      <c r="W15" s="221">
        <v>0</v>
      </c>
      <c r="X15" s="221">
        <v>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5</v>
      </c>
      <c r="AE15" s="221">
        <v>5</v>
      </c>
      <c r="AF15" s="221">
        <v>15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25.4</v>
      </c>
      <c r="C16" s="221">
        <v>25.4</v>
      </c>
      <c r="D16" s="221">
        <v>25.4</v>
      </c>
      <c r="E16" s="221">
        <v>25.4</v>
      </c>
      <c r="F16" s="221">
        <v>25.2</v>
      </c>
      <c r="G16" s="221">
        <v>25.2</v>
      </c>
      <c r="H16" s="221">
        <v>25.2</v>
      </c>
      <c r="I16" s="221">
        <v>25.2</v>
      </c>
      <c r="J16" s="221">
        <v>25.2</v>
      </c>
      <c r="K16" s="221">
        <v>25.2</v>
      </c>
      <c r="L16" s="221">
        <v>25.2</v>
      </c>
      <c r="M16" s="221">
        <v>25.2</v>
      </c>
      <c r="N16" s="221">
        <v>25.2</v>
      </c>
      <c r="O16" s="221">
        <v>25.2</v>
      </c>
      <c r="P16" s="221">
        <v>25.2</v>
      </c>
      <c r="Q16" s="221">
        <v>25.2</v>
      </c>
      <c r="R16" s="221">
        <v>25.2</v>
      </c>
      <c r="S16" s="221">
        <v>25.2</v>
      </c>
      <c r="T16" s="221">
        <v>25.2</v>
      </c>
      <c r="U16" s="221">
        <v>25.2</v>
      </c>
      <c r="V16" s="221">
        <v>25.2</v>
      </c>
      <c r="W16" s="221">
        <v>25.2</v>
      </c>
      <c r="X16" s="221">
        <v>25.2</v>
      </c>
      <c r="Y16" s="221">
        <v>25.2</v>
      </c>
      <c r="Z16" s="221">
        <v>25.2</v>
      </c>
      <c r="AA16" s="221">
        <v>25.2</v>
      </c>
      <c r="AB16" s="221">
        <v>25.2</v>
      </c>
      <c r="AC16" s="221">
        <v>25.2</v>
      </c>
      <c r="AD16" s="221">
        <v>7</v>
      </c>
      <c r="AE16" s="221">
        <v>7</v>
      </c>
      <c r="AF16" s="221">
        <v>26</v>
      </c>
      <c r="AG16" s="229">
        <v>25</v>
      </c>
      <c r="AH16" s="226">
        <f t="shared" si="2"/>
        <v>26</v>
      </c>
      <c r="AI16" s="227">
        <f t="shared" si="3"/>
        <v>7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23</v>
      </c>
      <c r="C17" s="221">
        <v>23</v>
      </c>
      <c r="D17" s="221">
        <v>23</v>
      </c>
      <c r="E17" s="221">
        <v>23</v>
      </c>
      <c r="F17" s="221">
        <v>23</v>
      </c>
      <c r="G17" s="221">
        <v>23</v>
      </c>
      <c r="H17" s="221">
        <v>23</v>
      </c>
      <c r="I17" s="221">
        <v>23</v>
      </c>
      <c r="J17" s="221">
        <v>23</v>
      </c>
      <c r="K17" s="221">
        <v>23</v>
      </c>
      <c r="L17" s="221">
        <v>23</v>
      </c>
      <c r="M17" s="221">
        <v>23</v>
      </c>
      <c r="N17" s="221">
        <v>23</v>
      </c>
      <c r="O17" s="221">
        <v>23</v>
      </c>
      <c r="P17" s="221">
        <v>23</v>
      </c>
      <c r="Q17" s="221">
        <v>23</v>
      </c>
      <c r="R17" s="221">
        <v>23</v>
      </c>
      <c r="S17" s="221">
        <v>23</v>
      </c>
      <c r="T17" s="221">
        <v>23</v>
      </c>
      <c r="U17" s="221">
        <v>23</v>
      </c>
      <c r="V17" s="221">
        <v>23</v>
      </c>
      <c r="W17" s="221">
        <v>23</v>
      </c>
      <c r="X17" s="221">
        <v>23</v>
      </c>
      <c r="Y17" s="221">
        <v>23</v>
      </c>
      <c r="Z17" s="221">
        <v>23</v>
      </c>
      <c r="AA17" s="221">
        <v>23</v>
      </c>
      <c r="AB17" s="221">
        <v>23</v>
      </c>
      <c r="AC17" s="221">
        <v>23</v>
      </c>
      <c r="AD17" s="221">
        <v>23</v>
      </c>
      <c r="AE17" s="221">
        <v>23</v>
      </c>
      <c r="AF17" s="221">
        <v>23</v>
      </c>
      <c r="AG17" s="229">
        <v>25</v>
      </c>
      <c r="AH17" s="226">
        <f t="shared" si="2"/>
        <v>23</v>
      </c>
      <c r="AI17" s="227">
        <f t="shared" si="3"/>
        <v>23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25</v>
      </c>
      <c r="E19" s="221">
        <v>25</v>
      </c>
      <c r="F19" s="221">
        <v>25</v>
      </c>
      <c r="G19" s="221">
        <v>25</v>
      </c>
      <c r="H19" s="221">
        <v>25</v>
      </c>
      <c r="I19" s="221">
        <v>25</v>
      </c>
      <c r="J19" s="221">
        <v>25</v>
      </c>
      <c r="K19" s="221">
        <v>25</v>
      </c>
      <c r="L19" s="221">
        <v>25</v>
      </c>
      <c r="M19" s="221">
        <v>25</v>
      </c>
      <c r="N19" s="221">
        <v>25</v>
      </c>
      <c r="O19" s="221">
        <v>25</v>
      </c>
      <c r="P19" s="221">
        <v>25</v>
      </c>
      <c r="Q19" s="221">
        <v>25</v>
      </c>
      <c r="R19" s="221">
        <v>25</v>
      </c>
      <c r="S19" s="221">
        <v>23.1</v>
      </c>
      <c r="T19" s="221">
        <v>23.1</v>
      </c>
      <c r="U19" s="221">
        <v>23.1</v>
      </c>
      <c r="V19" s="221">
        <v>23.1</v>
      </c>
      <c r="W19" s="221">
        <v>23.1</v>
      </c>
      <c r="X19" s="221">
        <v>23.1</v>
      </c>
      <c r="Y19" s="221">
        <v>23.1</v>
      </c>
      <c r="Z19" s="221">
        <v>33.299999999999997</v>
      </c>
      <c r="AA19" s="221">
        <v>33.299999999999997</v>
      </c>
      <c r="AB19" s="221">
        <v>33.299999999999997</v>
      </c>
      <c r="AC19" s="221">
        <v>33.299999999999997</v>
      </c>
      <c r="AD19" s="221">
        <v>33.299999999999997</v>
      </c>
      <c r="AE19" s="221">
        <v>33.299999999999997</v>
      </c>
      <c r="AF19" s="221">
        <v>33</v>
      </c>
      <c r="AG19" s="229">
        <v>24.2</v>
      </c>
      <c r="AH19" s="226">
        <f t="shared" si="2"/>
        <v>33.299999999999997</v>
      </c>
      <c r="AI19" s="227">
        <f t="shared" si="3"/>
        <v>23.1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</v>
      </c>
      <c r="C20" s="221">
        <v>23</v>
      </c>
      <c r="D20" s="221">
        <v>23</v>
      </c>
      <c r="E20" s="221">
        <v>23</v>
      </c>
      <c r="F20" s="221">
        <v>23</v>
      </c>
      <c r="G20" s="221">
        <v>23</v>
      </c>
      <c r="H20" s="221">
        <v>23</v>
      </c>
      <c r="I20" s="221">
        <v>23</v>
      </c>
      <c r="J20" s="221">
        <v>12</v>
      </c>
      <c r="K20" s="221">
        <v>12</v>
      </c>
      <c r="L20" s="221">
        <v>12</v>
      </c>
      <c r="M20" s="221">
        <v>12</v>
      </c>
      <c r="N20" s="221">
        <v>12</v>
      </c>
      <c r="O20" s="221">
        <v>12</v>
      </c>
      <c r="P20" s="221">
        <v>12</v>
      </c>
      <c r="Q20" s="221">
        <v>12</v>
      </c>
      <c r="R20" s="221">
        <v>12</v>
      </c>
      <c r="S20" s="221">
        <v>12</v>
      </c>
      <c r="T20" s="221">
        <v>12</v>
      </c>
      <c r="U20" s="221">
        <v>12</v>
      </c>
      <c r="V20" s="221">
        <v>12.3</v>
      </c>
      <c r="W20" s="221">
        <v>12.3</v>
      </c>
      <c r="X20" s="221">
        <v>12.3</v>
      </c>
      <c r="Y20" s="221">
        <v>12.3</v>
      </c>
      <c r="Z20" s="221">
        <v>12.3</v>
      </c>
      <c r="AA20" s="221">
        <v>12.3</v>
      </c>
      <c r="AB20" s="221">
        <v>12.3</v>
      </c>
      <c r="AC20" s="221">
        <v>12.3</v>
      </c>
      <c r="AD20" s="221">
        <v>12.3</v>
      </c>
      <c r="AE20" s="221">
        <v>12.3</v>
      </c>
      <c r="AF20" s="221">
        <v>22</v>
      </c>
      <c r="AG20" s="229">
        <v>23.5</v>
      </c>
      <c r="AH20" s="226">
        <f t="shared" si="2"/>
        <v>23</v>
      </c>
      <c r="AI20" s="227">
        <f t="shared" si="3"/>
        <v>12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17</v>
      </c>
      <c r="V24" s="221">
        <v>17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17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7</v>
      </c>
      <c r="C25" s="221">
        <v>4.5</v>
      </c>
      <c r="D25" s="221">
        <v>0</v>
      </c>
      <c r="E25" s="221">
        <v>0</v>
      </c>
      <c r="F25" s="221">
        <v>5</v>
      </c>
      <c r="G25" s="221">
        <v>5</v>
      </c>
      <c r="H25" s="221">
        <v>5</v>
      </c>
      <c r="I25" s="221">
        <v>5</v>
      </c>
      <c r="J25" s="221">
        <v>0</v>
      </c>
      <c r="K25" s="221">
        <v>0</v>
      </c>
      <c r="L25" s="221">
        <v>0</v>
      </c>
      <c r="M25" s="221">
        <v>0</v>
      </c>
      <c r="N25" s="221">
        <v>0</v>
      </c>
      <c r="O25" s="221">
        <v>0</v>
      </c>
      <c r="P25" s="221">
        <v>0</v>
      </c>
      <c r="Q25" s="221">
        <v>0</v>
      </c>
      <c r="R25" s="221">
        <v>0</v>
      </c>
      <c r="S25" s="221">
        <v>5</v>
      </c>
      <c r="T25" s="221">
        <v>5</v>
      </c>
      <c r="U25" s="221">
        <v>10</v>
      </c>
      <c r="V25" s="221">
        <v>10</v>
      </c>
      <c r="W25" s="221">
        <v>0</v>
      </c>
      <c r="X25" s="221">
        <v>0</v>
      </c>
      <c r="Y25" s="221">
        <v>10</v>
      </c>
      <c r="Z25" s="221">
        <v>15</v>
      </c>
      <c r="AA25" s="221">
        <v>0</v>
      </c>
      <c r="AB25" s="221">
        <v>20</v>
      </c>
      <c r="AC25" s="221">
        <v>0</v>
      </c>
      <c r="AD25" s="221">
        <v>0</v>
      </c>
      <c r="AE25" s="221">
        <v>0</v>
      </c>
      <c r="AF25" s="221">
        <v>10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12</v>
      </c>
      <c r="C27" s="221">
        <v>12</v>
      </c>
      <c r="D27" s="221">
        <v>12</v>
      </c>
      <c r="E27" s="221">
        <v>12</v>
      </c>
      <c r="F27" s="221">
        <v>12</v>
      </c>
      <c r="G27" s="221">
        <v>12</v>
      </c>
      <c r="H27" s="221">
        <v>12</v>
      </c>
      <c r="I27" s="221">
        <v>12</v>
      </c>
      <c r="J27" s="221">
        <v>12</v>
      </c>
      <c r="K27" s="221">
        <v>12</v>
      </c>
      <c r="L27" s="221">
        <v>12</v>
      </c>
      <c r="M27" s="221">
        <v>12</v>
      </c>
      <c r="N27" s="221">
        <v>12</v>
      </c>
      <c r="O27" s="221">
        <v>12</v>
      </c>
      <c r="P27" s="221">
        <v>12</v>
      </c>
      <c r="Q27" s="221">
        <v>12</v>
      </c>
      <c r="R27" s="221">
        <v>12</v>
      </c>
      <c r="S27" s="221">
        <v>12</v>
      </c>
      <c r="T27" s="221">
        <v>12</v>
      </c>
      <c r="U27" s="221">
        <v>12</v>
      </c>
      <c r="V27" s="221">
        <v>12</v>
      </c>
      <c r="W27" s="221">
        <v>12</v>
      </c>
      <c r="X27" s="221">
        <v>12</v>
      </c>
      <c r="Y27" s="221">
        <v>12</v>
      </c>
      <c r="Z27" s="221">
        <v>12</v>
      </c>
      <c r="AA27" s="221">
        <v>0</v>
      </c>
      <c r="AB27" s="221">
        <v>0</v>
      </c>
      <c r="AC27" s="221">
        <v>0</v>
      </c>
      <c r="AD27" s="221">
        <v>5</v>
      </c>
      <c r="AE27" s="221">
        <v>10</v>
      </c>
      <c r="AF27" s="221">
        <v>10</v>
      </c>
      <c r="AG27" s="229">
        <v>13.6</v>
      </c>
      <c r="AH27" s="226">
        <f t="shared" si="2"/>
        <v>12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0</v>
      </c>
      <c r="T28" s="221">
        <v>0</v>
      </c>
      <c r="U28" s="221">
        <v>0</v>
      </c>
      <c r="V28" s="221">
        <v>0</v>
      </c>
      <c r="W28" s="221">
        <v>0</v>
      </c>
      <c r="X28" s="221">
        <v>0</v>
      </c>
      <c r="Y28" s="221">
        <v>0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8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8</v>
      </c>
      <c r="K29" s="221">
        <v>8</v>
      </c>
      <c r="L29" s="221">
        <v>8</v>
      </c>
      <c r="M29" s="221">
        <v>8</v>
      </c>
      <c r="N29" s="221">
        <v>8</v>
      </c>
      <c r="O29" s="221">
        <v>8</v>
      </c>
      <c r="P29" s="221">
        <v>8</v>
      </c>
      <c r="Q29" s="221">
        <v>8</v>
      </c>
      <c r="R29" s="221">
        <v>8</v>
      </c>
      <c r="S29" s="221">
        <v>8</v>
      </c>
      <c r="T29" s="221">
        <v>8</v>
      </c>
      <c r="U29" s="221">
        <v>8</v>
      </c>
      <c r="V29" s="221">
        <v>8</v>
      </c>
      <c r="W29" s="221">
        <v>8</v>
      </c>
      <c r="X29" s="221">
        <v>8</v>
      </c>
      <c r="Y29" s="221">
        <v>8</v>
      </c>
      <c r="Z29" s="221">
        <v>8</v>
      </c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0</v>
      </c>
      <c r="AG29" s="229">
        <v>12</v>
      </c>
      <c r="AH29" s="226">
        <f t="shared" si="2"/>
        <v>8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11</v>
      </c>
      <c r="C33" s="221">
        <v>11</v>
      </c>
      <c r="D33" s="221">
        <v>11</v>
      </c>
      <c r="E33" s="221">
        <v>11</v>
      </c>
      <c r="F33" s="221">
        <v>11</v>
      </c>
      <c r="G33" s="221">
        <v>11</v>
      </c>
      <c r="H33" s="221">
        <v>11</v>
      </c>
      <c r="I33" s="221">
        <v>11</v>
      </c>
      <c r="J33" s="221">
        <v>11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11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9.4</v>
      </c>
      <c r="C34" s="221">
        <v>9.4</v>
      </c>
      <c r="D34" s="221">
        <v>9.4</v>
      </c>
      <c r="E34" s="221">
        <v>9.4</v>
      </c>
      <c r="F34" s="221">
        <v>9.4</v>
      </c>
      <c r="G34" s="221">
        <v>9.4</v>
      </c>
      <c r="H34" s="221">
        <v>9.4</v>
      </c>
      <c r="I34" s="221">
        <v>9.4</v>
      </c>
      <c r="J34" s="221">
        <v>9.4</v>
      </c>
      <c r="K34" s="221">
        <v>9.4</v>
      </c>
      <c r="L34" s="221">
        <v>9.4</v>
      </c>
      <c r="M34" s="221">
        <v>9.4</v>
      </c>
      <c r="N34" s="221">
        <v>9.4</v>
      </c>
      <c r="O34" s="221">
        <v>9.4</v>
      </c>
      <c r="P34" s="221">
        <v>9.4</v>
      </c>
      <c r="Q34" s="221">
        <v>9.4</v>
      </c>
      <c r="R34" s="221">
        <v>9.4</v>
      </c>
      <c r="S34" s="221">
        <v>9.4</v>
      </c>
      <c r="T34" s="221">
        <v>9.4</v>
      </c>
      <c r="U34" s="221">
        <v>9.4</v>
      </c>
      <c r="V34" s="221">
        <v>9.4</v>
      </c>
      <c r="W34" s="221">
        <v>9.4</v>
      </c>
      <c r="X34" s="221">
        <v>9.4</v>
      </c>
      <c r="Y34" s="221">
        <v>9.4</v>
      </c>
      <c r="Z34" s="221">
        <v>9.4</v>
      </c>
      <c r="AA34" s="221">
        <v>0</v>
      </c>
      <c r="AB34" s="221">
        <v>0</v>
      </c>
      <c r="AC34" s="221">
        <v>0</v>
      </c>
      <c r="AD34" s="221">
        <v>0</v>
      </c>
      <c r="AE34" s="221">
        <v>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351">
        <v>688.62</v>
      </c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301</v>
      </c>
      <c r="C36" s="237">
        <v>301</v>
      </c>
      <c r="D36" s="237">
        <v>301</v>
      </c>
      <c r="E36" s="237">
        <v>301</v>
      </c>
      <c r="F36" s="237">
        <v>301</v>
      </c>
      <c r="G36" s="237">
        <v>301</v>
      </c>
      <c r="H36" s="237">
        <v>301</v>
      </c>
      <c r="I36" s="237">
        <v>301</v>
      </c>
      <c r="J36" s="237">
        <v>301</v>
      </c>
      <c r="K36" s="237">
        <v>301</v>
      </c>
      <c r="L36" s="237">
        <v>301</v>
      </c>
      <c r="M36" s="237">
        <v>301</v>
      </c>
      <c r="N36" s="237">
        <v>301</v>
      </c>
      <c r="O36" s="237">
        <v>301</v>
      </c>
      <c r="P36" s="237">
        <v>301</v>
      </c>
      <c r="Q36" s="237">
        <v>301</v>
      </c>
      <c r="R36" s="237">
        <v>301</v>
      </c>
      <c r="S36" s="237">
        <v>301</v>
      </c>
      <c r="T36" s="237">
        <v>301</v>
      </c>
      <c r="U36" s="237">
        <v>301</v>
      </c>
      <c r="V36" s="237">
        <v>301</v>
      </c>
      <c r="W36" s="237">
        <v>301</v>
      </c>
      <c r="X36" s="237">
        <v>301</v>
      </c>
      <c r="Y36" s="237">
        <v>301</v>
      </c>
      <c r="Z36" s="237">
        <v>301</v>
      </c>
      <c r="AA36" s="237">
        <v>301</v>
      </c>
      <c r="AB36" s="237">
        <v>301</v>
      </c>
      <c r="AC36" s="237">
        <v>301</v>
      </c>
      <c r="AD36" s="237">
        <v>301</v>
      </c>
      <c r="AE36" s="237">
        <v>301</v>
      </c>
      <c r="AF36" s="237">
        <v>301</v>
      </c>
      <c r="AG36" s="235">
        <v>85</v>
      </c>
      <c r="AH36" s="226">
        <f t="shared" si="2"/>
        <v>301</v>
      </c>
      <c r="AI36" s="227">
        <f t="shared" si="3"/>
        <v>301</v>
      </c>
      <c r="AK36" s="228"/>
    </row>
    <row r="37" spans="1:88" ht="15.75" thickBot="1" x14ac:dyDescent="0.3">
      <c r="A37" s="238" t="s">
        <v>45</v>
      </c>
      <c r="B37" s="239">
        <v>178.6</v>
      </c>
      <c r="C37" s="239">
        <v>178.6</v>
      </c>
      <c r="D37" s="239">
        <f t="shared" ref="D37:J37" si="4">97.5+82</f>
        <v>179.5</v>
      </c>
      <c r="E37" s="239">
        <f t="shared" si="4"/>
        <v>179.5</v>
      </c>
      <c r="F37" s="239">
        <f t="shared" si="4"/>
        <v>179.5</v>
      </c>
      <c r="G37" s="239">
        <f t="shared" si="4"/>
        <v>179.5</v>
      </c>
      <c r="H37" s="239">
        <f t="shared" si="4"/>
        <v>179.5</v>
      </c>
      <c r="I37" s="239">
        <f t="shared" si="4"/>
        <v>179.5</v>
      </c>
      <c r="J37" s="239">
        <f t="shared" si="4"/>
        <v>179.5</v>
      </c>
      <c r="K37" s="239">
        <f>81.8+94.6</f>
        <v>176.39999999999998</v>
      </c>
      <c r="L37" s="239">
        <f>81.8+94.6</f>
        <v>176.39999999999998</v>
      </c>
      <c r="M37" s="237">
        <f t="shared" ref="M37:R37" si="5">94+81.5</f>
        <v>175.5</v>
      </c>
      <c r="N37" s="237">
        <f t="shared" si="5"/>
        <v>175.5</v>
      </c>
      <c r="O37" s="237">
        <f t="shared" si="5"/>
        <v>175.5</v>
      </c>
      <c r="P37" s="237">
        <f t="shared" si="5"/>
        <v>175.5</v>
      </c>
      <c r="Q37" s="237">
        <f t="shared" si="5"/>
        <v>175.5</v>
      </c>
      <c r="R37" s="237">
        <f t="shared" si="5"/>
        <v>175.5</v>
      </c>
      <c r="S37" s="237">
        <f>74.1+93</f>
        <v>167.1</v>
      </c>
      <c r="T37" s="237">
        <f>74.1+93</f>
        <v>167.1</v>
      </c>
      <c r="U37" s="237">
        <f>74.1+93</f>
        <v>167.1</v>
      </c>
      <c r="V37" s="237">
        <f>72.1+93.6</f>
        <v>165.7</v>
      </c>
      <c r="W37" s="237">
        <f>74.6+93.8</f>
        <v>168.39999999999998</v>
      </c>
      <c r="X37" s="239">
        <f>92.6+69.4</f>
        <v>162</v>
      </c>
      <c r="Y37" s="239">
        <f>92.6+69.4</f>
        <v>162</v>
      </c>
      <c r="Z37" s="239">
        <f>92.2+69.1</f>
        <v>161.30000000000001</v>
      </c>
      <c r="AA37" s="239">
        <v>161.30000000000001</v>
      </c>
      <c r="AB37" s="239">
        <v>161.30000000000001</v>
      </c>
      <c r="AC37" s="239">
        <f>74+84.9</f>
        <v>158.9</v>
      </c>
      <c r="AD37" s="239">
        <f>74+84.9</f>
        <v>158.9</v>
      </c>
      <c r="AE37" s="239">
        <f>74+84.9</f>
        <v>158.9</v>
      </c>
      <c r="AF37" s="239">
        <v>162</v>
      </c>
      <c r="AG37" s="235">
        <v>240</v>
      </c>
      <c r="AH37" s="226">
        <f t="shared" si="2"/>
        <v>179.5</v>
      </c>
      <c r="AI37" s="227">
        <f t="shared" si="3"/>
        <v>158.9</v>
      </c>
      <c r="AK37" s="228"/>
    </row>
    <row r="38" spans="1:88" ht="15.75" thickBot="1" x14ac:dyDescent="0.3">
      <c r="A38" s="240" t="s">
        <v>46</v>
      </c>
      <c r="B38" s="241">
        <f t="shared" ref="B38:AG38" si="6">SUM(B11:B36)</f>
        <v>828.6</v>
      </c>
      <c r="C38" s="241">
        <f t="shared" si="6"/>
        <v>812.09999999999991</v>
      </c>
      <c r="D38" s="241">
        <f t="shared" si="6"/>
        <v>774.4</v>
      </c>
      <c r="E38" s="241">
        <f t="shared" si="6"/>
        <v>774.4</v>
      </c>
      <c r="F38" s="241">
        <f t="shared" si="6"/>
        <v>779.2</v>
      </c>
      <c r="G38" s="241">
        <f t="shared" si="6"/>
        <v>779.2</v>
      </c>
      <c r="H38" s="241">
        <f t="shared" si="6"/>
        <v>779.2</v>
      </c>
      <c r="I38" s="241">
        <f t="shared" si="6"/>
        <v>779.2</v>
      </c>
      <c r="J38" s="241">
        <f t="shared" si="6"/>
        <v>763.2</v>
      </c>
      <c r="K38" s="241">
        <f t="shared" si="6"/>
        <v>762.2</v>
      </c>
      <c r="L38" s="241">
        <f t="shared" si="6"/>
        <v>762.2</v>
      </c>
      <c r="M38" s="241">
        <f t="shared" si="6"/>
        <v>762.2</v>
      </c>
      <c r="N38" s="241">
        <f t="shared" si="6"/>
        <v>762.2</v>
      </c>
      <c r="O38" s="241">
        <f t="shared" si="6"/>
        <v>762.2</v>
      </c>
      <c r="P38" s="241">
        <f t="shared" si="6"/>
        <v>762.2</v>
      </c>
      <c r="Q38" s="241">
        <f t="shared" si="6"/>
        <v>762.2</v>
      </c>
      <c r="R38" s="241">
        <f t="shared" si="6"/>
        <v>762.2</v>
      </c>
      <c r="S38" s="241">
        <f t="shared" si="6"/>
        <v>764.4</v>
      </c>
      <c r="T38" s="241">
        <f t="shared" si="6"/>
        <v>769.4</v>
      </c>
      <c r="U38" s="241">
        <f t="shared" si="6"/>
        <v>772.4</v>
      </c>
      <c r="V38" s="241">
        <f t="shared" si="6"/>
        <v>777.7</v>
      </c>
      <c r="W38" s="241">
        <f t="shared" si="6"/>
        <v>747.7</v>
      </c>
      <c r="X38" s="241">
        <f t="shared" si="6"/>
        <v>747.7</v>
      </c>
      <c r="Y38" s="241">
        <f>SUM(Y11:Y36)</f>
        <v>795.7</v>
      </c>
      <c r="Z38" s="241">
        <f t="shared" si="6"/>
        <v>821.9</v>
      </c>
      <c r="AA38" s="241">
        <f t="shared" si="6"/>
        <v>752.5</v>
      </c>
      <c r="AB38" s="241">
        <f t="shared" si="6"/>
        <v>772.5</v>
      </c>
      <c r="AC38" s="241">
        <f t="shared" si="6"/>
        <v>752.5</v>
      </c>
      <c r="AD38" s="241">
        <f t="shared" si="6"/>
        <v>714.3</v>
      </c>
      <c r="AE38" s="241">
        <f t="shared" si="6"/>
        <v>719.3</v>
      </c>
      <c r="AF38" s="241">
        <f t="shared" si="6"/>
        <v>801.8</v>
      </c>
      <c r="AG38" s="242">
        <f t="shared" si="6"/>
        <v>665.78</v>
      </c>
      <c r="AH38" s="226">
        <f t="shared" si="2"/>
        <v>828.6</v>
      </c>
      <c r="AI38" s="227">
        <f t="shared" si="3"/>
        <v>714.3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7">SUM(C39:C41)</f>
        <v>538</v>
      </c>
      <c r="D42" s="241">
        <f t="shared" si="7"/>
        <v>538</v>
      </c>
      <c r="E42" s="241">
        <f t="shared" si="7"/>
        <v>538</v>
      </c>
      <c r="F42" s="241">
        <f t="shared" si="7"/>
        <v>538</v>
      </c>
      <c r="G42" s="241">
        <f t="shared" si="7"/>
        <v>538</v>
      </c>
      <c r="H42" s="241">
        <f t="shared" si="7"/>
        <v>538</v>
      </c>
      <c r="I42" s="241">
        <f t="shared" si="7"/>
        <v>538</v>
      </c>
      <c r="J42" s="241">
        <f t="shared" si="7"/>
        <v>538</v>
      </c>
      <c r="K42" s="241">
        <f t="shared" si="7"/>
        <v>538</v>
      </c>
      <c r="L42" s="241">
        <f t="shared" si="7"/>
        <v>538</v>
      </c>
      <c r="M42" s="241">
        <f t="shared" si="7"/>
        <v>538</v>
      </c>
      <c r="N42" s="241">
        <f t="shared" si="7"/>
        <v>538</v>
      </c>
      <c r="O42" s="241">
        <f t="shared" si="7"/>
        <v>538</v>
      </c>
      <c r="P42" s="241">
        <f t="shared" si="7"/>
        <v>538</v>
      </c>
      <c r="Q42" s="241">
        <f t="shared" si="7"/>
        <v>538</v>
      </c>
      <c r="R42" s="241">
        <f t="shared" si="7"/>
        <v>538</v>
      </c>
      <c r="S42" s="241">
        <f t="shared" si="7"/>
        <v>538</v>
      </c>
      <c r="T42" s="241">
        <f t="shared" si="7"/>
        <v>538</v>
      </c>
      <c r="U42" s="241">
        <f t="shared" si="7"/>
        <v>538</v>
      </c>
      <c r="V42" s="241">
        <f t="shared" si="7"/>
        <v>538</v>
      </c>
      <c r="W42" s="241">
        <f t="shared" si="7"/>
        <v>538</v>
      </c>
      <c r="X42" s="241">
        <f t="shared" si="7"/>
        <v>538</v>
      </c>
      <c r="Y42" s="241">
        <f t="shared" si="7"/>
        <v>538</v>
      </c>
      <c r="Z42" s="241">
        <f t="shared" si="7"/>
        <v>538</v>
      </c>
      <c r="AA42" s="241">
        <f t="shared" si="7"/>
        <v>538</v>
      </c>
      <c r="AB42" s="241">
        <f t="shared" si="7"/>
        <v>538</v>
      </c>
      <c r="AC42" s="241">
        <f t="shared" si="7"/>
        <v>538</v>
      </c>
      <c r="AD42" s="241">
        <f t="shared" si="7"/>
        <v>538</v>
      </c>
      <c r="AE42" s="241">
        <f t="shared" si="7"/>
        <v>538</v>
      </c>
      <c r="AF42" s="241">
        <f t="shared" si="7"/>
        <v>538</v>
      </c>
      <c r="AG42" s="242">
        <f t="shared" si="7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140.4</v>
      </c>
      <c r="C43" s="221">
        <v>140.4</v>
      </c>
      <c r="D43" s="221">
        <v>140.4</v>
      </c>
      <c r="E43" s="221">
        <v>140.4</v>
      </c>
      <c r="F43" s="221">
        <v>141.5</v>
      </c>
      <c r="G43" s="221">
        <v>141.5</v>
      </c>
      <c r="H43" s="221">
        <v>141.5</v>
      </c>
      <c r="I43" s="221">
        <v>141.5</v>
      </c>
      <c r="J43" s="221">
        <v>141.5</v>
      </c>
      <c r="K43" s="221">
        <v>141.5</v>
      </c>
      <c r="L43" s="221">
        <v>141.5</v>
      </c>
      <c r="M43" s="221">
        <v>141.69999999999999</v>
      </c>
      <c r="N43" s="221">
        <v>141.69999999999999</v>
      </c>
      <c r="O43" s="221">
        <v>141.69999999999999</v>
      </c>
      <c r="P43" s="221">
        <v>141.69999999999999</v>
      </c>
      <c r="Q43" s="221">
        <v>141.69999999999999</v>
      </c>
      <c r="R43" s="221">
        <v>141.69999999999999</v>
      </c>
      <c r="S43" s="221">
        <v>141.69999999999999</v>
      </c>
      <c r="T43" s="221">
        <v>141.69999999999999</v>
      </c>
      <c r="U43" s="221">
        <v>141.69999999999999</v>
      </c>
      <c r="V43" s="221">
        <v>141.69999999999999</v>
      </c>
      <c r="W43" s="221">
        <v>141.69999999999999</v>
      </c>
      <c r="X43" s="221">
        <v>141.69999999999999</v>
      </c>
      <c r="Y43" s="221">
        <v>141.69999999999999</v>
      </c>
      <c r="Z43" s="221">
        <v>141.69999999999999</v>
      </c>
      <c r="AA43" s="221">
        <v>141.69999999999999</v>
      </c>
      <c r="AB43" s="221">
        <v>142.19999999999999</v>
      </c>
      <c r="AC43" s="221">
        <v>142.19999999999999</v>
      </c>
      <c r="AD43" s="221">
        <v>142.19999999999999</v>
      </c>
      <c r="AE43" s="221">
        <v>142.19999999999999</v>
      </c>
      <c r="AF43" s="221">
        <v>142.5</v>
      </c>
      <c r="AG43" s="230">
        <v>144</v>
      </c>
      <c r="AH43" s="226">
        <f t="shared" si="2"/>
        <v>142.5</v>
      </c>
      <c r="AI43" s="227">
        <f t="shared" si="3"/>
        <v>140.4</v>
      </c>
      <c r="AK43" s="228"/>
    </row>
    <row r="44" spans="1:88" x14ac:dyDescent="0.25">
      <c r="A44" s="234" t="s">
        <v>52</v>
      </c>
      <c r="B44" s="245">
        <v>70</v>
      </c>
      <c r="C44" s="245">
        <v>70</v>
      </c>
      <c r="D44" s="245">
        <v>70</v>
      </c>
      <c r="E44" s="245">
        <v>70</v>
      </c>
      <c r="F44" s="245">
        <v>70</v>
      </c>
      <c r="G44" s="245">
        <v>70</v>
      </c>
      <c r="H44" s="245">
        <v>70</v>
      </c>
      <c r="I44" s="245">
        <v>70</v>
      </c>
      <c r="J44" s="245">
        <v>70</v>
      </c>
      <c r="K44" s="245">
        <v>70</v>
      </c>
      <c r="L44" s="245">
        <v>70</v>
      </c>
      <c r="M44" s="221">
        <v>69.3</v>
      </c>
      <c r="N44" s="221">
        <v>69.3</v>
      </c>
      <c r="O44" s="221">
        <v>69.3</v>
      </c>
      <c r="P44" s="221">
        <v>69.3</v>
      </c>
      <c r="Q44" s="221">
        <v>69.3</v>
      </c>
      <c r="R44" s="221">
        <v>69.3</v>
      </c>
      <c r="S44" s="221">
        <v>69.3</v>
      </c>
      <c r="T44" s="221">
        <v>69.3</v>
      </c>
      <c r="U44" s="221">
        <v>70</v>
      </c>
      <c r="V44" s="221">
        <v>70</v>
      </c>
      <c r="W44" s="221">
        <v>70</v>
      </c>
      <c r="X44" s="221">
        <v>70</v>
      </c>
      <c r="Y44" s="221">
        <v>70</v>
      </c>
      <c r="Z44" s="221">
        <v>70</v>
      </c>
      <c r="AA44" s="245">
        <v>70</v>
      </c>
      <c r="AB44" s="245">
        <v>72.099999999999994</v>
      </c>
      <c r="AC44" s="245">
        <v>72.099999999999994</v>
      </c>
      <c r="AD44" s="245">
        <v>72.099999999999994</v>
      </c>
      <c r="AE44" s="245">
        <v>72.099999999999994</v>
      </c>
      <c r="AF44" s="245">
        <v>71.900000000000006</v>
      </c>
      <c r="AG44" s="235">
        <v>70</v>
      </c>
      <c r="AH44" s="226">
        <f t="shared" si="2"/>
        <v>72.099999999999994</v>
      </c>
      <c r="AI44" s="227">
        <f t="shared" si="3"/>
        <v>69.3</v>
      </c>
      <c r="AK44" s="228"/>
    </row>
    <row r="45" spans="1:88" x14ac:dyDescent="0.25">
      <c r="A45" s="234" t="s">
        <v>53</v>
      </c>
      <c r="B45" s="245">
        <v>63.3</v>
      </c>
      <c r="C45" s="245">
        <v>63.3</v>
      </c>
      <c r="D45" s="245">
        <v>63.3</v>
      </c>
      <c r="E45" s="245">
        <v>63.3</v>
      </c>
      <c r="F45" s="245">
        <v>63.3</v>
      </c>
      <c r="G45" s="245">
        <v>63.3</v>
      </c>
      <c r="H45" s="245">
        <v>63.3</v>
      </c>
      <c r="I45" s="245">
        <v>63.3</v>
      </c>
      <c r="J45" s="245">
        <v>63.3</v>
      </c>
      <c r="K45" s="245">
        <v>63.3</v>
      </c>
      <c r="L45" s="245">
        <v>63.3</v>
      </c>
      <c r="M45" s="221">
        <v>64.099999999999994</v>
      </c>
      <c r="N45" s="221">
        <v>64.099999999999994</v>
      </c>
      <c r="O45" s="221">
        <v>64.099999999999994</v>
      </c>
      <c r="P45" s="221">
        <v>64.099999999999994</v>
      </c>
      <c r="Q45" s="221">
        <v>64.099999999999994</v>
      </c>
      <c r="R45" s="221">
        <v>64.099999999999994</v>
      </c>
      <c r="S45" s="221">
        <v>64.099999999999994</v>
      </c>
      <c r="T45" s="221">
        <v>64.099999999999994</v>
      </c>
      <c r="U45" s="221">
        <v>64.099999999999994</v>
      </c>
      <c r="V45" s="221">
        <v>64.099999999999994</v>
      </c>
      <c r="W45" s="221">
        <v>64.099999999999994</v>
      </c>
      <c r="X45" s="221">
        <v>64.099999999999994</v>
      </c>
      <c r="Y45" s="221">
        <v>64.099999999999994</v>
      </c>
      <c r="Z45" s="221">
        <v>64.099999999999994</v>
      </c>
      <c r="AA45" s="245">
        <v>64.099999999999994</v>
      </c>
      <c r="AB45" s="245">
        <v>64.400000000000006</v>
      </c>
      <c r="AC45" s="245">
        <v>64.400000000000006</v>
      </c>
      <c r="AD45" s="245">
        <v>64.400000000000006</v>
      </c>
      <c r="AE45" s="245">
        <v>64.400000000000006</v>
      </c>
      <c r="AF45" s="245">
        <v>64</v>
      </c>
      <c r="AG45" s="235">
        <v>69</v>
      </c>
      <c r="AH45" s="226">
        <f t="shared" si="2"/>
        <v>64.400000000000006</v>
      </c>
      <c r="AI45" s="227">
        <f t="shared" si="3"/>
        <v>63.3</v>
      </c>
      <c r="AK45" s="228"/>
    </row>
    <row r="46" spans="1:88" x14ac:dyDescent="0.25">
      <c r="A46" s="234" t="s">
        <v>54</v>
      </c>
      <c r="B46" s="237">
        <v>60</v>
      </c>
      <c r="C46" s="237">
        <v>60</v>
      </c>
      <c r="D46" s="237">
        <v>60</v>
      </c>
      <c r="E46" s="237">
        <v>60</v>
      </c>
      <c r="F46" s="237">
        <v>60</v>
      </c>
      <c r="G46" s="237">
        <v>60</v>
      </c>
      <c r="H46" s="237">
        <v>60</v>
      </c>
      <c r="I46" s="237">
        <v>60</v>
      </c>
      <c r="J46" s="237">
        <v>60</v>
      </c>
      <c r="K46" s="237">
        <v>60</v>
      </c>
      <c r="L46" s="237">
        <v>60</v>
      </c>
      <c r="M46" s="221">
        <v>60.7</v>
      </c>
      <c r="N46" s="221">
        <v>60.7</v>
      </c>
      <c r="O46" s="221">
        <v>60.7</v>
      </c>
      <c r="P46" s="221">
        <v>60.7</v>
      </c>
      <c r="Q46" s="221">
        <v>60.7</v>
      </c>
      <c r="R46" s="221">
        <v>60.7</v>
      </c>
      <c r="S46" s="221">
        <v>60.7</v>
      </c>
      <c r="T46" s="221">
        <v>60</v>
      </c>
      <c r="U46" s="221">
        <v>0</v>
      </c>
      <c r="V46" s="221">
        <v>0</v>
      </c>
      <c r="W46" s="221">
        <v>30</v>
      </c>
      <c r="X46" s="221">
        <v>30</v>
      </c>
      <c r="Y46" s="221">
        <v>60</v>
      </c>
      <c r="Z46" s="221">
        <v>60</v>
      </c>
      <c r="AA46" s="245">
        <v>60</v>
      </c>
      <c r="AB46" s="245">
        <v>60.7</v>
      </c>
      <c r="AC46" s="245">
        <v>60.7</v>
      </c>
      <c r="AD46" s="245">
        <v>60.7</v>
      </c>
      <c r="AE46" s="245">
        <v>60.7</v>
      </c>
      <c r="AF46" s="237">
        <v>60.7</v>
      </c>
      <c r="AG46" s="235">
        <v>60</v>
      </c>
      <c r="AH46" s="226">
        <f t="shared" si="2"/>
        <v>60.7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28</v>
      </c>
      <c r="C47" s="237">
        <v>28</v>
      </c>
      <c r="D47" s="237">
        <v>28</v>
      </c>
      <c r="E47" s="237">
        <v>28</v>
      </c>
      <c r="F47" s="237">
        <v>0</v>
      </c>
      <c r="G47" s="237">
        <v>0</v>
      </c>
      <c r="H47" s="237">
        <v>0</v>
      </c>
      <c r="I47" s="237">
        <v>0</v>
      </c>
      <c r="J47" s="237">
        <v>0</v>
      </c>
      <c r="K47" s="237">
        <v>0</v>
      </c>
      <c r="L47" s="237">
        <v>0</v>
      </c>
      <c r="M47" s="221">
        <v>0</v>
      </c>
      <c r="N47" s="221">
        <v>0</v>
      </c>
      <c r="O47" s="221">
        <v>0</v>
      </c>
      <c r="P47" s="221">
        <v>0</v>
      </c>
      <c r="Q47" s="221">
        <v>0</v>
      </c>
      <c r="R47" s="221">
        <v>0</v>
      </c>
      <c r="S47" s="221">
        <v>28.9</v>
      </c>
      <c r="T47" s="221">
        <v>28.9</v>
      </c>
      <c r="U47" s="221">
        <v>28.9</v>
      </c>
      <c r="V47" s="221">
        <v>28.9</v>
      </c>
      <c r="W47" s="221">
        <v>28.9</v>
      </c>
      <c r="X47" s="221">
        <v>28.9</v>
      </c>
      <c r="Y47" s="221">
        <v>28.9</v>
      </c>
      <c r="Z47" s="221">
        <v>28.9</v>
      </c>
      <c r="AA47" s="245">
        <v>28.9</v>
      </c>
      <c r="AB47" s="245">
        <v>28.9</v>
      </c>
      <c r="AC47" s="245">
        <v>28.9</v>
      </c>
      <c r="AD47" s="245">
        <v>28.9</v>
      </c>
      <c r="AE47" s="245">
        <v>28.9</v>
      </c>
      <c r="AF47" s="245">
        <v>28.9</v>
      </c>
      <c r="AG47" s="235">
        <v>30</v>
      </c>
      <c r="AH47" s="226">
        <f t="shared" si="2"/>
        <v>28.9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0</v>
      </c>
      <c r="N48" s="221">
        <v>0</v>
      </c>
      <c r="O48" s="221">
        <v>0</v>
      </c>
      <c r="P48" s="221">
        <v>0</v>
      </c>
      <c r="Q48" s="221">
        <v>0</v>
      </c>
      <c r="R48" s="221">
        <v>0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8</v>
      </c>
      <c r="Z48" s="221">
        <v>8</v>
      </c>
      <c r="AA48" s="221">
        <v>8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</v>
      </c>
      <c r="C49" s="245">
        <v>17</v>
      </c>
      <c r="D49" s="245">
        <v>17</v>
      </c>
      <c r="E49" s="245">
        <v>17</v>
      </c>
      <c r="F49" s="245">
        <v>17</v>
      </c>
      <c r="G49" s="245">
        <v>17</v>
      </c>
      <c r="H49" s="245">
        <v>17</v>
      </c>
      <c r="I49" s="245">
        <v>17</v>
      </c>
      <c r="J49" s="245">
        <v>17</v>
      </c>
      <c r="K49" s="245">
        <v>17</v>
      </c>
      <c r="L49" s="245">
        <v>17</v>
      </c>
      <c r="M49" s="221">
        <v>17</v>
      </c>
      <c r="N49" s="221">
        <v>17</v>
      </c>
      <c r="O49" s="221">
        <v>17</v>
      </c>
      <c r="P49" s="221">
        <v>17</v>
      </c>
      <c r="Q49" s="221">
        <v>17</v>
      </c>
      <c r="R49" s="221">
        <v>17</v>
      </c>
      <c r="S49" s="221">
        <v>17</v>
      </c>
      <c r="T49" s="221">
        <v>17</v>
      </c>
      <c r="U49" s="221">
        <v>17</v>
      </c>
      <c r="V49" s="221">
        <v>17</v>
      </c>
      <c r="W49" s="221">
        <v>17</v>
      </c>
      <c r="X49" s="221">
        <v>17</v>
      </c>
      <c r="Y49" s="221">
        <v>17</v>
      </c>
      <c r="Z49" s="221">
        <v>17</v>
      </c>
      <c r="AA49" s="221">
        <v>17</v>
      </c>
      <c r="AB49" s="221">
        <v>17</v>
      </c>
      <c r="AC49" s="221">
        <v>17</v>
      </c>
      <c r="AD49" s="221">
        <v>17</v>
      </c>
      <c r="AE49" s="221">
        <v>17</v>
      </c>
      <c r="AF49" s="221">
        <v>17</v>
      </c>
      <c r="AG49" s="235">
        <v>24</v>
      </c>
      <c r="AH49" s="226">
        <f t="shared" si="2"/>
        <v>17</v>
      </c>
      <c r="AI49" s="227">
        <f t="shared" si="3"/>
        <v>17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12.9</v>
      </c>
      <c r="C51" s="245">
        <v>12.9</v>
      </c>
      <c r="D51" s="245">
        <v>12.9</v>
      </c>
      <c r="E51" s="245">
        <v>12.9</v>
      </c>
      <c r="F51" s="245">
        <v>12.9</v>
      </c>
      <c r="G51" s="245">
        <v>12.9</v>
      </c>
      <c r="H51" s="245">
        <v>12.9</v>
      </c>
      <c r="I51" s="245">
        <v>12.9</v>
      </c>
      <c r="J51" s="245">
        <v>12.9</v>
      </c>
      <c r="K51" s="245">
        <v>12.9</v>
      </c>
      <c r="L51" s="245">
        <v>12.9</v>
      </c>
      <c r="M51" s="221">
        <v>12.9</v>
      </c>
      <c r="N51" s="221">
        <v>12.9</v>
      </c>
      <c r="O51" s="221">
        <v>12.9</v>
      </c>
      <c r="P51" s="221">
        <v>12.9</v>
      </c>
      <c r="Q51" s="221">
        <v>12.9</v>
      </c>
      <c r="R51" s="221">
        <v>12.9</v>
      </c>
      <c r="S51" s="221">
        <v>12.9</v>
      </c>
      <c r="T51" s="221">
        <v>12.9</v>
      </c>
      <c r="U51" s="221">
        <v>12.9</v>
      </c>
      <c r="V51" s="221">
        <v>12.9</v>
      </c>
      <c r="W51" s="221">
        <v>12.9</v>
      </c>
      <c r="X51" s="221">
        <v>12.9</v>
      </c>
      <c r="Y51" s="221">
        <v>12.9</v>
      </c>
      <c r="Z51" s="221">
        <v>12.9</v>
      </c>
      <c r="AA51" s="221">
        <v>12.9</v>
      </c>
      <c r="AB51" s="221">
        <v>12.9</v>
      </c>
      <c r="AC51" s="221">
        <v>12.9</v>
      </c>
      <c r="AD51" s="221">
        <v>12.9</v>
      </c>
      <c r="AE51" s="221">
        <v>12.9</v>
      </c>
      <c r="AF51" s="221">
        <v>12.9</v>
      </c>
      <c r="AG51" s="235">
        <v>14.1</v>
      </c>
      <c r="AH51" s="226">
        <f t="shared" si="2"/>
        <v>12.9</v>
      </c>
      <c r="AI51" s="227">
        <f t="shared" si="3"/>
        <v>12.9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7</v>
      </c>
      <c r="C52" s="245">
        <v>7</v>
      </c>
      <c r="D52" s="245">
        <v>7</v>
      </c>
      <c r="E52" s="245">
        <v>7</v>
      </c>
      <c r="F52" s="245">
        <v>7</v>
      </c>
      <c r="G52" s="245">
        <v>7</v>
      </c>
      <c r="H52" s="245">
        <v>7</v>
      </c>
      <c r="I52" s="245">
        <v>7</v>
      </c>
      <c r="J52" s="245">
        <v>7</v>
      </c>
      <c r="K52" s="245">
        <v>7</v>
      </c>
      <c r="L52" s="245">
        <v>7</v>
      </c>
      <c r="M52" s="221">
        <v>7</v>
      </c>
      <c r="N52" s="221">
        <v>7</v>
      </c>
      <c r="O52" s="221">
        <v>13.5</v>
      </c>
      <c r="P52" s="221">
        <v>13.5</v>
      </c>
      <c r="Q52" s="221">
        <v>13.5</v>
      </c>
      <c r="R52" s="221">
        <v>13.5</v>
      </c>
      <c r="S52" s="221">
        <v>13.5</v>
      </c>
      <c r="T52" s="221">
        <v>13.5</v>
      </c>
      <c r="U52" s="221">
        <v>13.5</v>
      </c>
      <c r="V52" s="221">
        <v>13.5</v>
      </c>
      <c r="W52" s="221">
        <v>13.5</v>
      </c>
      <c r="X52" s="221">
        <v>13.5</v>
      </c>
      <c r="Y52" s="221">
        <v>13.5</v>
      </c>
      <c r="Z52" s="221">
        <v>13.5</v>
      </c>
      <c r="AA52" s="221">
        <v>0</v>
      </c>
      <c r="AB52" s="221">
        <v>0</v>
      </c>
      <c r="AC52" s="221">
        <v>0</v>
      </c>
      <c r="AD52" s="221">
        <v>8</v>
      </c>
      <c r="AE52" s="221">
        <v>3.7</v>
      </c>
      <c r="AF52" s="221">
        <v>8.8000000000000007</v>
      </c>
      <c r="AG52" s="235">
        <v>14</v>
      </c>
      <c r="AH52" s="226">
        <f t="shared" si="2"/>
        <v>13.5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21">
        <v>10</v>
      </c>
      <c r="N53" s="221">
        <v>10</v>
      </c>
      <c r="O53" s="221">
        <v>10</v>
      </c>
      <c r="P53" s="221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421.34</v>
      </c>
      <c r="C56" s="241">
        <f t="shared" ref="C56:AG56" si="8">SUM(C43:C55)</f>
        <v>421.34</v>
      </c>
      <c r="D56" s="241">
        <f t="shared" si="8"/>
        <v>421.34</v>
      </c>
      <c r="E56" s="241">
        <f t="shared" si="8"/>
        <v>421.34</v>
      </c>
      <c r="F56" s="241">
        <f t="shared" si="8"/>
        <v>394.44</v>
      </c>
      <c r="G56" s="241">
        <f t="shared" si="8"/>
        <v>394.44</v>
      </c>
      <c r="H56" s="241">
        <f t="shared" si="8"/>
        <v>394.44</v>
      </c>
      <c r="I56" s="241">
        <f t="shared" si="8"/>
        <v>394.44</v>
      </c>
      <c r="J56" s="241">
        <f t="shared" si="8"/>
        <v>394.44</v>
      </c>
      <c r="K56" s="241">
        <f t="shared" si="8"/>
        <v>394.44</v>
      </c>
      <c r="L56" s="241">
        <f t="shared" si="8"/>
        <v>394.44</v>
      </c>
      <c r="M56" s="241">
        <f t="shared" si="8"/>
        <v>395.44</v>
      </c>
      <c r="N56" s="241">
        <f t="shared" si="8"/>
        <v>395.44</v>
      </c>
      <c r="O56" s="241">
        <f t="shared" si="8"/>
        <v>401.94</v>
      </c>
      <c r="P56" s="241">
        <f t="shared" si="8"/>
        <v>401.94</v>
      </c>
      <c r="Q56" s="241">
        <f t="shared" si="8"/>
        <v>401.94</v>
      </c>
      <c r="R56" s="241">
        <f t="shared" si="8"/>
        <v>401.94</v>
      </c>
      <c r="S56" s="241">
        <f t="shared" si="8"/>
        <v>438.84</v>
      </c>
      <c r="T56" s="241">
        <f t="shared" si="8"/>
        <v>438.14</v>
      </c>
      <c r="U56" s="241">
        <f t="shared" si="8"/>
        <v>378.83999999999992</v>
      </c>
      <c r="V56" s="241">
        <f t="shared" si="8"/>
        <v>378.83999999999992</v>
      </c>
      <c r="W56" s="241">
        <f t="shared" si="8"/>
        <v>408.83999999999992</v>
      </c>
      <c r="X56" s="241">
        <f t="shared" si="8"/>
        <v>408.83999999999992</v>
      </c>
      <c r="Y56" s="241">
        <f t="shared" si="8"/>
        <v>438.83999999999992</v>
      </c>
      <c r="Z56" s="241">
        <f t="shared" si="8"/>
        <v>438.83999999999992</v>
      </c>
      <c r="AA56" s="241">
        <f t="shared" si="8"/>
        <v>425.33999999999992</v>
      </c>
      <c r="AB56" s="241">
        <f t="shared" si="8"/>
        <v>420.93999999999994</v>
      </c>
      <c r="AC56" s="241">
        <f t="shared" si="8"/>
        <v>420.93999999999994</v>
      </c>
      <c r="AD56" s="241">
        <f t="shared" si="8"/>
        <v>428.93999999999994</v>
      </c>
      <c r="AE56" s="241">
        <f t="shared" si="8"/>
        <v>424.63999999999993</v>
      </c>
      <c r="AF56" s="241">
        <f t="shared" si="8"/>
        <v>429.43999999999994</v>
      </c>
      <c r="AG56" s="242">
        <f t="shared" si="8"/>
        <v>489.91</v>
      </c>
      <c r="AH56" s="226">
        <f t="shared" si="2"/>
        <v>438.84</v>
      </c>
      <c r="AI56" s="227">
        <f t="shared" si="3"/>
        <v>378.83999999999992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44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44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23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23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8.5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8.5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9">SUM(C57:C59)</f>
        <v>0</v>
      </c>
      <c r="D60" s="241">
        <f t="shared" si="9"/>
        <v>0</v>
      </c>
      <c r="E60" s="241">
        <f t="shared" si="9"/>
        <v>0</v>
      </c>
      <c r="F60" s="241">
        <f t="shared" si="9"/>
        <v>0</v>
      </c>
      <c r="G60" s="241">
        <f t="shared" si="9"/>
        <v>0</v>
      </c>
      <c r="H60" s="241">
        <f t="shared" si="9"/>
        <v>0</v>
      </c>
      <c r="I60" s="241">
        <f t="shared" si="9"/>
        <v>0</v>
      </c>
      <c r="J60" s="241">
        <f t="shared" si="9"/>
        <v>0</v>
      </c>
      <c r="K60" s="241">
        <f t="shared" si="9"/>
        <v>0</v>
      </c>
      <c r="L60" s="241">
        <f t="shared" si="9"/>
        <v>0</v>
      </c>
      <c r="M60" s="241">
        <f t="shared" si="9"/>
        <v>0</v>
      </c>
      <c r="N60" s="241">
        <f t="shared" si="9"/>
        <v>0</v>
      </c>
      <c r="O60" s="241">
        <f t="shared" si="9"/>
        <v>0</v>
      </c>
      <c r="P60" s="241">
        <f t="shared" si="9"/>
        <v>0</v>
      </c>
      <c r="Q60" s="241">
        <f t="shared" si="9"/>
        <v>0</v>
      </c>
      <c r="R60" s="241">
        <f t="shared" si="9"/>
        <v>0</v>
      </c>
      <c r="S60" s="241">
        <f t="shared" si="9"/>
        <v>0</v>
      </c>
      <c r="T60" s="241">
        <f t="shared" si="9"/>
        <v>0</v>
      </c>
      <c r="U60" s="241">
        <f t="shared" si="9"/>
        <v>0</v>
      </c>
      <c r="V60" s="241">
        <f t="shared" si="9"/>
        <v>0</v>
      </c>
      <c r="W60" s="241">
        <f t="shared" si="9"/>
        <v>0</v>
      </c>
      <c r="X60" s="241">
        <f t="shared" si="9"/>
        <v>0</v>
      </c>
      <c r="Y60" s="241">
        <f t="shared" si="9"/>
        <v>0</v>
      </c>
      <c r="Z60" s="241">
        <f t="shared" si="9"/>
        <v>0</v>
      </c>
      <c r="AA60" s="241">
        <f t="shared" si="9"/>
        <v>75.5</v>
      </c>
      <c r="AB60" s="241">
        <f t="shared" si="9"/>
        <v>0</v>
      </c>
      <c r="AC60" s="241">
        <f t="shared" si="9"/>
        <v>0</v>
      </c>
      <c r="AD60" s="241">
        <f t="shared" si="9"/>
        <v>0</v>
      </c>
      <c r="AE60" s="241">
        <f t="shared" si="9"/>
        <v>0</v>
      </c>
      <c r="AF60" s="241">
        <f t="shared" si="9"/>
        <v>0</v>
      </c>
      <c r="AG60" s="242">
        <f t="shared" si="9"/>
        <v>106</v>
      </c>
      <c r="AH60" s="226">
        <f t="shared" si="2"/>
        <v>75.5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0</v>
      </c>
      <c r="T61" s="221">
        <v>0</v>
      </c>
      <c r="U61" s="221">
        <v>0</v>
      </c>
      <c r="V61" s="221">
        <v>0</v>
      </c>
      <c r="W61" s="221">
        <v>0</v>
      </c>
      <c r="X61" s="221">
        <v>0</v>
      </c>
      <c r="Y61" s="221">
        <v>0</v>
      </c>
      <c r="Z61" s="221">
        <v>33.700000000000003</v>
      </c>
      <c r="AA61" s="221">
        <v>62.5</v>
      </c>
      <c r="AB61" s="221">
        <v>51.8</v>
      </c>
      <c r="AC61" s="221">
        <v>57.3</v>
      </c>
      <c r="AD61" s="221">
        <v>54</v>
      </c>
      <c r="AE61" s="221">
        <v>54.9</v>
      </c>
      <c r="AF61" s="221">
        <v>0</v>
      </c>
      <c r="AG61" s="230"/>
      <c r="AH61" s="226">
        <f t="shared" si="2"/>
        <v>62.5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-345.6</v>
      </c>
      <c r="C63" s="245">
        <v>-380</v>
      </c>
      <c r="D63" s="245">
        <v>-351</v>
      </c>
      <c r="E63" s="245">
        <v>-388</v>
      </c>
      <c r="F63" s="245">
        <v>-375</v>
      </c>
      <c r="G63" s="245">
        <v>-379</v>
      </c>
      <c r="H63" s="245">
        <v>-410</v>
      </c>
      <c r="I63" s="245">
        <v>-399</v>
      </c>
      <c r="J63" s="245">
        <v>-420</v>
      </c>
      <c r="K63" s="245">
        <v>-386</v>
      </c>
      <c r="L63" s="245">
        <v>-390</v>
      </c>
      <c r="M63" s="245">
        <v>-350</v>
      </c>
      <c r="N63" s="245">
        <v>-320</v>
      </c>
      <c r="O63" s="245">
        <v>-340</v>
      </c>
      <c r="P63" s="245">
        <v>-306</v>
      </c>
      <c r="Q63" s="245">
        <v>-320</v>
      </c>
      <c r="R63" s="245">
        <v>-340</v>
      </c>
      <c r="S63" s="245">
        <v>-322</v>
      </c>
      <c r="T63" s="245">
        <v>-332</v>
      </c>
      <c r="U63" s="245">
        <v>-317</v>
      </c>
      <c r="V63" s="245">
        <v>-364</v>
      </c>
      <c r="W63" s="245">
        <v>-330</v>
      </c>
      <c r="X63" s="245">
        <v>-330</v>
      </c>
      <c r="Y63" s="245">
        <v>-280</v>
      </c>
      <c r="Z63" s="245">
        <v>-282</v>
      </c>
      <c r="AA63" s="245">
        <v>-243</v>
      </c>
      <c r="AB63" s="245">
        <v>-230</v>
      </c>
      <c r="AC63" s="245">
        <v>-206</v>
      </c>
      <c r="AD63" s="245">
        <v>-240</v>
      </c>
      <c r="AE63" s="245">
        <v>-284</v>
      </c>
      <c r="AF63" s="245">
        <v>-331</v>
      </c>
      <c r="AG63" s="255"/>
      <c r="AH63" s="226">
        <f t="shared" si="2"/>
        <v>-206</v>
      </c>
      <c r="AI63" s="227">
        <f t="shared" si="3"/>
        <v>-420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17</v>
      </c>
      <c r="AE64" s="256">
        <v>17</v>
      </c>
      <c r="AF64" s="256">
        <v>0</v>
      </c>
      <c r="AG64" s="255"/>
      <c r="AH64" s="226">
        <f t="shared" si="2"/>
        <v>17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4.5</v>
      </c>
      <c r="C68" s="256">
        <v>4.5</v>
      </c>
      <c r="D68" s="256">
        <v>4.5</v>
      </c>
      <c r="E68" s="256">
        <v>4.5</v>
      </c>
      <c r="F68" s="256">
        <v>4.5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4.5</v>
      </c>
      <c r="AF68" s="256">
        <v>4.5</v>
      </c>
      <c r="AG68" s="255"/>
      <c r="AH68" s="226">
        <f t="shared" si="2"/>
        <v>4.5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4.5</v>
      </c>
      <c r="C72" s="241">
        <f t="shared" ref="C72:L72" si="10">SUMIF(C61:C71,"&gt;0")</f>
        <v>4.5</v>
      </c>
      <c r="D72" s="241">
        <f t="shared" si="10"/>
        <v>4.5</v>
      </c>
      <c r="E72" s="241">
        <f t="shared" si="10"/>
        <v>4.5</v>
      </c>
      <c r="F72" s="241">
        <f t="shared" si="10"/>
        <v>4.5</v>
      </c>
      <c r="G72" s="241">
        <f t="shared" si="10"/>
        <v>0</v>
      </c>
      <c r="H72" s="241">
        <f t="shared" si="10"/>
        <v>0</v>
      </c>
      <c r="I72" s="241">
        <f t="shared" si="10"/>
        <v>0</v>
      </c>
      <c r="J72" s="241">
        <f t="shared" si="10"/>
        <v>0</v>
      </c>
      <c r="K72" s="241">
        <f t="shared" si="10"/>
        <v>0</v>
      </c>
      <c r="L72" s="241">
        <f t="shared" si="10"/>
        <v>0</v>
      </c>
      <c r="M72" s="241">
        <f>SUMIF(M61:M71,"&gt;0")</f>
        <v>0</v>
      </c>
      <c r="N72" s="241">
        <f t="shared" ref="N72:AF72" si="11">SUMIF(N61:N71,"&gt;0")</f>
        <v>0</v>
      </c>
      <c r="O72" s="241">
        <f t="shared" si="11"/>
        <v>0</v>
      </c>
      <c r="P72" s="241">
        <f t="shared" si="11"/>
        <v>0</v>
      </c>
      <c r="Q72" s="241">
        <f t="shared" si="11"/>
        <v>0</v>
      </c>
      <c r="R72" s="241">
        <f t="shared" si="11"/>
        <v>0</v>
      </c>
      <c r="S72" s="241">
        <f t="shared" si="11"/>
        <v>0</v>
      </c>
      <c r="T72" s="241">
        <f t="shared" si="11"/>
        <v>0</v>
      </c>
      <c r="U72" s="241">
        <f t="shared" si="11"/>
        <v>0</v>
      </c>
      <c r="V72" s="241">
        <f t="shared" si="11"/>
        <v>0</v>
      </c>
      <c r="W72" s="241">
        <f t="shared" si="11"/>
        <v>0</v>
      </c>
      <c r="X72" s="241">
        <f t="shared" si="11"/>
        <v>0</v>
      </c>
      <c r="Y72" s="241">
        <f t="shared" si="11"/>
        <v>0</v>
      </c>
      <c r="Z72" s="241">
        <f t="shared" si="11"/>
        <v>33.700000000000003</v>
      </c>
      <c r="AA72" s="241">
        <f t="shared" si="11"/>
        <v>62.5</v>
      </c>
      <c r="AB72" s="241">
        <f t="shared" si="11"/>
        <v>51.8</v>
      </c>
      <c r="AC72" s="241">
        <f t="shared" si="11"/>
        <v>57.3</v>
      </c>
      <c r="AD72" s="241">
        <f t="shared" si="11"/>
        <v>71</v>
      </c>
      <c r="AE72" s="241">
        <f t="shared" si="11"/>
        <v>76.400000000000006</v>
      </c>
      <c r="AF72" s="241">
        <f t="shared" si="11"/>
        <v>4.5</v>
      </c>
      <c r="AG72" s="261">
        <f>SUM(AG61:AG71)</f>
        <v>0</v>
      </c>
      <c r="AH72" s="226">
        <f t="shared" si="2"/>
        <v>76.400000000000006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1792.4399999999998</v>
      </c>
      <c r="C77" s="263">
        <f t="shared" ref="C77:AF77" si="12">C38+C42+C60+C56+C72+C76</f>
        <v>1775.9399999999998</v>
      </c>
      <c r="D77" s="263">
        <f t="shared" si="12"/>
        <v>1738.24</v>
      </c>
      <c r="E77" s="263">
        <f t="shared" si="12"/>
        <v>1738.24</v>
      </c>
      <c r="F77" s="263">
        <f t="shared" si="12"/>
        <v>1716.14</v>
      </c>
      <c r="G77" s="263">
        <f t="shared" si="12"/>
        <v>1711.64</v>
      </c>
      <c r="H77" s="263">
        <f t="shared" si="12"/>
        <v>1711.64</v>
      </c>
      <c r="I77" s="263">
        <f t="shared" si="12"/>
        <v>1711.64</v>
      </c>
      <c r="J77" s="263">
        <f t="shared" si="12"/>
        <v>1695.64</v>
      </c>
      <c r="K77" s="263">
        <f t="shared" si="12"/>
        <v>1694.64</v>
      </c>
      <c r="L77" s="263">
        <f t="shared" si="12"/>
        <v>1694.64</v>
      </c>
      <c r="M77" s="263">
        <f t="shared" si="12"/>
        <v>1695.64</v>
      </c>
      <c r="N77" s="263">
        <f t="shared" si="12"/>
        <v>1695.64</v>
      </c>
      <c r="O77" s="263">
        <f t="shared" si="12"/>
        <v>1702.14</v>
      </c>
      <c r="P77" s="263">
        <f t="shared" si="12"/>
        <v>1702.14</v>
      </c>
      <c r="Q77" s="263">
        <f t="shared" si="12"/>
        <v>1702.14</v>
      </c>
      <c r="R77" s="263">
        <f t="shared" si="12"/>
        <v>1702.14</v>
      </c>
      <c r="S77" s="263">
        <f t="shared" si="12"/>
        <v>1741.24</v>
      </c>
      <c r="T77" s="263">
        <f t="shared" si="12"/>
        <v>1745.54</v>
      </c>
      <c r="U77" s="263">
        <f t="shared" si="12"/>
        <v>1689.24</v>
      </c>
      <c r="V77" s="263">
        <f t="shared" si="12"/>
        <v>1694.54</v>
      </c>
      <c r="W77" s="263">
        <f t="shared" si="12"/>
        <v>1694.54</v>
      </c>
      <c r="X77" s="263">
        <f t="shared" si="12"/>
        <v>1694.54</v>
      </c>
      <c r="Y77" s="263">
        <f t="shared" si="12"/>
        <v>1772.54</v>
      </c>
      <c r="Z77" s="263">
        <f t="shared" si="12"/>
        <v>1832.44</v>
      </c>
      <c r="AA77" s="263">
        <f t="shared" si="12"/>
        <v>1853.84</v>
      </c>
      <c r="AB77" s="263">
        <f t="shared" si="12"/>
        <v>1783.24</v>
      </c>
      <c r="AC77" s="263">
        <f t="shared" si="12"/>
        <v>1768.74</v>
      </c>
      <c r="AD77" s="263">
        <f t="shared" si="12"/>
        <v>1752.2399999999998</v>
      </c>
      <c r="AE77" s="263">
        <f t="shared" si="12"/>
        <v>1758.34</v>
      </c>
      <c r="AF77" s="263">
        <f t="shared" si="12"/>
        <v>1773.7399999999998</v>
      </c>
      <c r="AG77" s="242">
        <f>AG38+AG42+AG60+AG56+AG72+AG76</f>
        <v>1855.1900000000003</v>
      </c>
      <c r="AH77" s="226">
        <f t="shared" si="2"/>
        <v>1853.84</v>
      </c>
      <c r="AI77" s="227">
        <f t="shared" si="3"/>
        <v>1689.24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1792.4399999999998</v>
      </c>
      <c r="C79" s="263">
        <f t="shared" ref="C79:AF79" si="13">C77+C78</f>
        <v>1775.9399999999998</v>
      </c>
      <c r="D79" s="263">
        <f t="shared" si="13"/>
        <v>1738.24</v>
      </c>
      <c r="E79" s="263">
        <f t="shared" si="13"/>
        <v>1738.24</v>
      </c>
      <c r="F79" s="263">
        <f t="shared" si="13"/>
        <v>1716.14</v>
      </c>
      <c r="G79" s="263">
        <f t="shared" si="13"/>
        <v>1711.64</v>
      </c>
      <c r="H79" s="263">
        <f t="shared" si="13"/>
        <v>1711.64</v>
      </c>
      <c r="I79" s="263">
        <f t="shared" si="13"/>
        <v>1711.64</v>
      </c>
      <c r="J79" s="263">
        <f t="shared" si="13"/>
        <v>1695.64</v>
      </c>
      <c r="K79" s="263">
        <f t="shared" si="13"/>
        <v>1694.64</v>
      </c>
      <c r="L79" s="263">
        <f t="shared" si="13"/>
        <v>1694.64</v>
      </c>
      <c r="M79" s="263">
        <f t="shared" si="13"/>
        <v>1695.64</v>
      </c>
      <c r="N79" s="263">
        <f t="shared" si="13"/>
        <v>1695.64</v>
      </c>
      <c r="O79" s="263">
        <f t="shared" si="13"/>
        <v>1702.14</v>
      </c>
      <c r="P79" s="263">
        <f t="shared" si="13"/>
        <v>1702.14</v>
      </c>
      <c r="Q79" s="263">
        <f t="shared" si="13"/>
        <v>1702.14</v>
      </c>
      <c r="R79" s="263">
        <f t="shared" si="13"/>
        <v>1702.14</v>
      </c>
      <c r="S79" s="263">
        <f t="shared" si="13"/>
        <v>1741.24</v>
      </c>
      <c r="T79" s="263">
        <f t="shared" si="13"/>
        <v>1745.54</v>
      </c>
      <c r="U79" s="263">
        <f t="shared" si="13"/>
        <v>1689.24</v>
      </c>
      <c r="V79" s="263">
        <f t="shared" si="13"/>
        <v>1694.54</v>
      </c>
      <c r="W79" s="263">
        <f t="shared" si="13"/>
        <v>1694.54</v>
      </c>
      <c r="X79" s="263">
        <f t="shared" si="13"/>
        <v>1694.54</v>
      </c>
      <c r="Y79" s="263">
        <f t="shared" si="13"/>
        <v>1772.54</v>
      </c>
      <c r="Z79" s="263">
        <f t="shared" si="13"/>
        <v>1832.44</v>
      </c>
      <c r="AA79" s="263">
        <f t="shared" si="13"/>
        <v>1853.84</v>
      </c>
      <c r="AB79" s="263">
        <f t="shared" si="13"/>
        <v>1783.24</v>
      </c>
      <c r="AC79" s="263">
        <f t="shared" si="13"/>
        <v>1768.74</v>
      </c>
      <c r="AD79" s="263">
        <f t="shared" si="13"/>
        <v>1752.2399999999998</v>
      </c>
      <c r="AE79" s="263">
        <f t="shared" si="13"/>
        <v>1758.34</v>
      </c>
      <c r="AF79" s="263">
        <f t="shared" si="13"/>
        <v>1773.7399999999998</v>
      </c>
      <c r="AG79" s="261">
        <f>AG76+AG72+AG60+AG56+AG38+AG78</f>
        <v>1317.0900000000001</v>
      </c>
      <c r="AH79" s="226">
        <f t="shared" si="2"/>
        <v>1853.84</v>
      </c>
      <c r="AI79" s="227">
        <f t="shared" si="3"/>
        <v>1689.24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4">B79-B87</f>
        <v>1446.8399999999997</v>
      </c>
      <c r="C80" s="263">
        <f t="shared" si="14"/>
        <v>1395.9399999999998</v>
      </c>
      <c r="D80" s="263">
        <f t="shared" si="14"/>
        <v>1387.24</v>
      </c>
      <c r="E80" s="263">
        <f t="shared" si="14"/>
        <v>1350.24</v>
      </c>
      <c r="F80" s="263">
        <f t="shared" si="14"/>
        <v>1341.14</v>
      </c>
      <c r="G80" s="263">
        <f t="shared" si="14"/>
        <v>1332.64</v>
      </c>
      <c r="H80" s="263">
        <f t="shared" si="14"/>
        <v>1301.6400000000001</v>
      </c>
      <c r="I80" s="263">
        <f t="shared" si="14"/>
        <v>1312.64</v>
      </c>
      <c r="J80" s="263">
        <f t="shared" si="14"/>
        <v>1275.6400000000001</v>
      </c>
      <c r="K80" s="263">
        <f t="shared" si="14"/>
        <v>1308.6400000000001</v>
      </c>
      <c r="L80" s="263">
        <f t="shared" si="14"/>
        <v>1304.6400000000001</v>
      </c>
      <c r="M80" s="263">
        <f t="shared" si="14"/>
        <v>1345.64</v>
      </c>
      <c r="N80" s="263">
        <f t="shared" si="14"/>
        <v>1375.64</v>
      </c>
      <c r="O80" s="263">
        <f t="shared" si="14"/>
        <v>1362.14</v>
      </c>
      <c r="P80" s="263">
        <f t="shared" si="14"/>
        <v>1396.14</v>
      </c>
      <c r="Q80" s="263">
        <f t="shared" si="14"/>
        <v>1382.14</v>
      </c>
      <c r="R80" s="263">
        <f t="shared" si="14"/>
        <v>1362.14</v>
      </c>
      <c r="S80" s="263">
        <f t="shared" si="14"/>
        <v>1419.24</v>
      </c>
      <c r="T80" s="263">
        <f t="shared" si="14"/>
        <v>1413.54</v>
      </c>
      <c r="U80" s="263">
        <f t="shared" si="14"/>
        <v>1372.24</v>
      </c>
      <c r="V80" s="263">
        <f t="shared" si="14"/>
        <v>1330.54</v>
      </c>
      <c r="W80" s="263">
        <f t="shared" si="14"/>
        <v>1364.54</v>
      </c>
      <c r="X80" s="263">
        <f t="shared" si="14"/>
        <v>1364.54</v>
      </c>
      <c r="Y80" s="263">
        <f t="shared" si="14"/>
        <v>1492.54</v>
      </c>
      <c r="Z80" s="263">
        <f t="shared" si="14"/>
        <v>1550.44</v>
      </c>
      <c r="AA80" s="263">
        <f t="shared" si="14"/>
        <v>1610.84</v>
      </c>
      <c r="AB80" s="263">
        <f t="shared" si="14"/>
        <v>1553.24</v>
      </c>
      <c r="AC80" s="263">
        <f t="shared" si="14"/>
        <v>1562.74</v>
      </c>
      <c r="AD80" s="263">
        <f t="shared" si="14"/>
        <v>1512.2399999999998</v>
      </c>
      <c r="AE80" s="263">
        <f t="shared" si="14"/>
        <v>1474.34</v>
      </c>
      <c r="AF80" s="263">
        <f t="shared" si="14"/>
        <v>1442.7399999999998</v>
      </c>
      <c r="AG80" s="261"/>
      <c r="AH80" s="226">
        <f t="shared" ref="AH80:AH97" si="15">MAX(B80:AF80)</f>
        <v>1610.84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6">IF(C64&lt;0,C64*-1,0)</f>
        <v>0</v>
      </c>
      <c r="D81" s="256">
        <f t="shared" si="16"/>
        <v>0</v>
      </c>
      <c r="E81" s="256">
        <f t="shared" si="16"/>
        <v>0</v>
      </c>
      <c r="F81" s="256">
        <f t="shared" si="16"/>
        <v>0</v>
      </c>
      <c r="G81" s="256">
        <f t="shared" si="16"/>
        <v>0</v>
      </c>
      <c r="H81" s="256">
        <f t="shared" si="16"/>
        <v>0</v>
      </c>
      <c r="I81" s="256">
        <f t="shared" si="16"/>
        <v>0</v>
      </c>
      <c r="J81" s="256">
        <f t="shared" si="16"/>
        <v>0</v>
      </c>
      <c r="K81" s="256">
        <f t="shared" si="16"/>
        <v>0</v>
      </c>
      <c r="L81" s="256">
        <f t="shared" si="16"/>
        <v>0</v>
      </c>
      <c r="M81" s="256">
        <f t="shared" si="16"/>
        <v>0</v>
      </c>
      <c r="N81" s="256">
        <f t="shared" si="16"/>
        <v>0</v>
      </c>
      <c r="O81" s="256">
        <f t="shared" si="16"/>
        <v>0</v>
      </c>
      <c r="P81" s="256">
        <f t="shared" si="16"/>
        <v>0</v>
      </c>
      <c r="Q81" s="256">
        <f t="shared" si="16"/>
        <v>0</v>
      </c>
      <c r="R81" s="256">
        <f t="shared" si="16"/>
        <v>0</v>
      </c>
      <c r="S81" s="256">
        <f t="shared" si="16"/>
        <v>0</v>
      </c>
      <c r="T81" s="256">
        <f t="shared" si="16"/>
        <v>0</v>
      </c>
      <c r="U81" s="256">
        <f t="shared" si="16"/>
        <v>0</v>
      </c>
      <c r="V81" s="256">
        <f t="shared" si="16"/>
        <v>0</v>
      </c>
      <c r="W81" s="256">
        <f t="shared" si="16"/>
        <v>0</v>
      </c>
      <c r="X81" s="256">
        <f t="shared" si="16"/>
        <v>0</v>
      </c>
      <c r="Y81" s="256">
        <f t="shared" si="16"/>
        <v>0</v>
      </c>
      <c r="Z81" s="256">
        <f t="shared" si="16"/>
        <v>0</v>
      </c>
      <c r="AA81" s="256">
        <f t="shared" si="16"/>
        <v>0</v>
      </c>
      <c r="AB81" s="256">
        <f t="shared" si="16"/>
        <v>0</v>
      </c>
      <c r="AC81" s="256">
        <f t="shared" si="16"/>
        <v>0</v>
      </c>
      <c r="AD81" s="256">
        <f t="shared" si="16"/>
        <v>0</v>
      </c>
      <c r="AE81" s="256">
        <f t="shared" si="16"/>
        <v>0</v>
      </c>
      <c r="AF81" s="256">
        <f t="shared" si="16"/>
        <v>0</v>
      </c>
      <c r="AG81" s="230"/>
      <c r="AH81" s="226">
        <f t="shared" si="15"/>
        <v>0</v>
      </c>
      <c r="AI81" s="227">
        <f t="shared" ref="AI81:AI97" si="17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8">IF(C62&lt;0,C62*-1,0)</f>
        <v>0</v>
      </c>
      <c r="D82" s="256">
        <f t="shared" si="18"/>
        <v>0</v>
      </c>
      <c r="E82" s="256">
        <f t="shared" si="18"/>
        <v>0</v>
      </c>
      <c r="F82" s="256">
        <f t="shared" si="18"/>
        <v>0</v>
      </c>
      <c r="G82" s="256">
        <f t="shared" si="18"/>
        <v>0</v>
      </c>
      <c r="H82" s="256">
        <f t="shared" si="18"/>
        <v>0</v>
      </c>
      <c r="I82" s="256">
        <f t="shared" si="18"/>
        <v>0</v>
      </c>
      <c r="J82" s="256">
        <f t="shared" si="18"/>
        <v>0</v>
      </c>
      <c r="K82" s="256">
        <f t="shared" si="18"/>
        <v>0</v>
      </c>
      <c r="L82" s="256">
        <f t="shared" si="18"/>
        <v>0</v>
      </c>
      <c r="M82" s="256">
        <f t="shared" si="18"/>
        <v>0</v>
      </c>
      <c r="N82" s="256">
        <f t="shared" si="18"/>
        <v>0</v>
      </c>
      <c r="O82" s="256">
        <f t="shared" si="18"/>
        <v>0</v>
      </c>
      <c r="P82" s="256">
        <f t="shared" si="18"/>
        <v>0</v>
      </c>
      <c r="Q82" s="256">
        <f t="shared" si="18"/>
        <v>0</v>
      </c>
      <c r="R82" s="256">
        <f t="shared" si="18"/>
        <v>0</v>
      </c>
      <c r="S82" s="256">
        <f t="shared" si="18"/>
        <v>0</v>
      </c>
      <c r="T82" s="256">
        <f t="shared" si="18"/>
        <v>0</v>
      </c>
      <c r="U82" s="256">
        <f t="shared" si="18"/>
        <v>0</v>
      </c>
      <c r="V82" s="256">
        <f t="shared" si="18"/>
        <v>0</v>
      </c>
      <c r="W82" s="256">
        <f t="shared" si="18"/>
        <v>0</v>
      </c>
      <c r="X82" s="256">
        <f t="shared" si="18"/>
        <v>0</v>
      </c>
      <c r="Y82" s="256">
        <f t="shared" si="18"/>
        <v>0</v>
      </c>
      <c r="Z82" s="256">
        <f t="shared" si="18"/>
        <v>0</v>
      </c>
      <c r="AA82" s="256">
        <f t="shared" si="18"/>
        <v>0</v>
      </c>
      <c r="AB82" s="256">
        <f t="shared" si="18"/>
        <v>0</v>
      </c>
      <c r="AC82" s="256">
        <f t="shared" si="18"/>
        <v>0</v>
      </c>
      <c r="AD82" s="256">
        <f t="shared" si="18"/>
        <v>0</v>
      </c>
      <c r="AE82" s="256">
        <f t="shared" si="18"/>
        <v>0</v>
      </c>
      <c r="AF82" s="256">
        <f t="shared" si="18"/>
        <v>0</v>
      </c>
      <c r="AG82" s="235"/>
      <c r="AH82" s="226">
        <f t="shared" si="15"/>
        <v>0</v>
      </c>
      <c r="AI82" s="227">
        <f t="shared" si="17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9">IF(C65&lt;0,C65*-1,0)</f>
        <v>0</v>
      </c>
      <c r="D83" s="256">
        <f t="shared" si="19"/>
        <v>0</v>
      </c>
      <c r="E83" s="256">
        <f t="shared" si="19"/>
        <v>0</v>
      </c>
      <c r="F83" s="256">
        <f t="shared" si="19"/>
        <v>0</v>
      </c>
      <c r="G83" s="256">
        <f t="shared" si="19"/>
        <v>0</v>
      </c>
      <c r="H83" s="256">
        <f t="shared" si="19"/>
        <v>0</v>
      </c>
      <c r="I83" s="256">
        <f t="shared" si="19"/>
        <v>0</v>
      </c>
      <c r="J83" s="256">
        <f t="shared" si="19"/>
        <v>0</v>
      </c>
      <c r="K83" s="256">
        <f t="shared" si="19"/>
        <v>0</v>
      </c>
      <c r="L83" s="256">
        <f t="shared" si="19"/>
        <v>0</v>
      </c>
      <c r="M83" s="256">
        <f t="shared" si="19"/>
        <v>0</v>
      </c>
      <c r="N83" s="256">
        <f t="shared" si="19"/>
        <v>0</v>
      </c>
      <c r="O83" s="256">
        <f t="shared" si="19"/>
        <v>0</v>
      </c>
      <c r="P83" s="256">
        <f t="shared" si="19"/>
        <v>0</v>
      </c>
      <c r="Q83" s="256">
        <f t="shared" si="19"/>
        <v>0</v>
      </c>
      <c r="R83" s="256">
        <f t="shared" si="19"/>
        <v>0</v>
      </c>
      <c r="S83" s="256">
        <f t="shared" si="19"/>
        <v>0</v>
      </c>
      <c r="T83" s="256">
        <f t="shared" si="19"/>
        <v>0</v>
      </c>
      <c r="U83" s="256">
        <f t="shared" si="19"/>
        <v>0</v>
      </c>
      <c r="V83" s="256">
        <f t="shared" si="19"/>
        <v>0</v>
      </c>
      <c r="W83" s="256">
        <f t="shared" si="19"/>
        <v>0</v>
      </c>
      <c r="X83" s="256">
        <f t="shared" si="19"/>
        <v>0</v>
      </c>
      <c r="Y83" s="256">
        <f t="shared" si="19"/>
        <v>0</v>
      </c>
      <c r="Z83" s="256">
        <f t="shared" si="19"/>
        <v>0</v>
      </c>
      <c r="AA83" s="256">
        <f t="shared" si="19"/>
        <v>0</v>
      </c>
      <c r="AB83" s="256">
        <f t="shared" si="19"/>
        <v>0</v>
      </c>
      <c r="AC83" s="256">
        <f t="shared" si="19"/>
        <v>0</v>
      </c>
      <c r="AD83" s="256">
        <f t="shared" si="19"/>
        <v>0</v>
      </c>
      <c r="AE83" s="256">
        <f t="shared" si="19"/>
        <v>0</v>
      </c>
      <c r="AF83" s="256">
        <f t="shared" si="19"/>
        <v>0</v>
      </c>
      <c r="AG83" s="266"/>
      <c r="AH83" s="226">
        <f t="shared" si="15"/>
        <v>0</v>
      </c>
      <c r="AI83" s="227">
        <f t="shared" si="17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345.6</v>
      </c>
      <c r="C84" s="256">
        <f t="shared" ref="C84:AF84" si="20">IF(C63&lt;0,C63*-1,0)</f>
        <v>380</v>
      </c>
      <c r="D84" s="256">
        <f t="shared" si="20"/>
        <v>351</v>
      </c>
      <c r="E84" s="256">
        <f t="shared" si="20"/>
        <v>388</v>
      </c>
      <c r="F84" s="256">
        <f t="shared" si="20"/>
        <v>375</v>
      </c>
      <c r="G84" s="256">
        <f t="shared" si="20"/>
        <v>379</v>
      </c>
      <c r="H84" s="256">
        <f t="shared" si="20"/>
        <v>410</v>
      </c>
      <c r="I84" s="256">
        <f t="shared" si="20"/>
        <v>399</v>
      </c>
      <c r="J84" s="256">
        <f t="shared" si="20"/>
        <v>420</v>
      </c>
      <c r="K84" s="256">
        <f t="shared" si="20"/>
        <v>386</v>
      </c>
      <c r="L84" s="256">
        <f t="shared" si="20"/>
        <v>390</v>
      </c>
      <c r="M84" s="256">
        <f t="shared" si="20"/>
        <v>350</v>
      </c>
      <c r="N84" s="256">
        <f t="shared" si="20"/>
        <v>320</v>
      </c>
      <c r="O84" s="256">
        <f t="shared" si="20"/>
        <v>340</v>
      </c>
      <c r="P84" s="256">
        <f t="shared" si="20"/>
        <v>306</v>
      </c>
      <c r="Q84" s="256">
        <f t="shared" si="20"/>
        <v>320</v>
      </c>
      <c r="R84" s="256">
        <f t="shared" si="20"/>
        <v>340</v>
      </c>
      <c r="S84" s="256">
        <f t="shared" si="20"/>
        <v>322</v>
      </c>
      <c r="T84" s="256">
        <f t="shared" si="20"/>
        <v>332</v>
      </c>
      <c r="U84" s="256">
        <f t="shared" si="20"/>
        <v>317</v>
      </c>
      <c r="V84" s="256">
        <f t="shared" si="20"/>
        <v>364</v>
      </c>
      <c r="W84" s="256">
        <f t="shared" si="20"/>
        <v>330</v>
      </c>
      <c r="X84" s="256">
        <f t="shared" si="20"/>
        <v>330</v>
      </c>
      <c r="Y84" s="256">
        <f t="shared" si="20"/>
        <v>280</v>
      </c>
      <c r="Z84" s="256">
        <f t="shared" si="20"/>
        <v>282</v>
      </c>
      <c r="AA84" s="256">
        <f t="shared" si="20"/>
        <v>243</v>
      </c>
      <c r="AB84" s="256">
        <f t="shared" si="20"/>
        <v>230</v>
      </c>
      <c r="AC84" s="256">
        <f t="shared" si="20"/>
        <v>206</v>
      </c>
      <c r="AD84" s="256">
        <f t="shared" si="20"/>
        <v>240</v>
      </c>
      <c r="AE84" s="256">
        <f t="shared" si="20"/>
        <v>284</v>
      </c>
      <c r="AF84" s="256">
        <f t="shared" si="20"/>
        <v>331</v>
      </c>
      <c r="AG84" s="266"/>
      <c r="AH84" s="226">
        <f t="shared" si="15"/>
        <v>420</v>
      </c>
      <c r="AI84" s="227">
        <f t="shared" si="17"/>
        <v>206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1">IF(C61&lt;0,C61*-1,0)</f>
        <v>0</v>
      </c>
      <c r="D85" s="256">
        <f t="shared" si="21"/>
        <v>0</v>
      </c>
      <c r="E85" s="256">
        <f t="shared" si="21"/>
        <v>0</v>
      </c>
      <c r="F85" s="256">
        <f t="shared" si="21"/>
        <v>0</v>
      </c>
      <c r="G85" s="256">
        <f t="shared" si="21"/>
        <v>0</v>
      </c>
      <c r="H85" s="256">
        <f t="shared" si="21"/>
        <v>0</v>
      </c>
      <c r="I85" s="256">
        <f t="shared" si="21"/>
        <v>0</v>
      </c>
      <c r="J85" s="256">
        <f t="shared" si="21"/>
        <v>0</v>
      </c>
      <c r="K85" s="256">
        <f t="shared" si="21"/>
        <v>0</v>
      </c>
      <c r="L85" s="256">
        <f t="shared" si="21"/>
        <v>0</v>
      </c>
      <c r="M85" s="256">
        <f t="shared" si="21"/>
        <v>0</v>
      </c>
      <c r="N85" s="256">
        <f t="shared" si="21"/>
        <v>0</v>
      </c>
      <c r="O85" s="256">
        <f t="shared" si="21"/>
        <v>0</v>
      </c>
      <c r="P85" s="256">
        <f t="shared" si="21"/>
        <v>0</v>
      </c>
      <c r="Q85" s="256">
        <f t="shared" si="21"/>
        <v>0</v>
      </c>
      <c r="R85" s="256">
        <f t="shared" si="21"/>
        <v>0</v>
      </c>
      <c r="S85" s="256">
        <f t="shared" si="21"/>
        <v>0</v>
      </c>
      <c r="T85" s="256">
        <f t="shared" si="21"/>
        <v>0</v>
      </c>
      <c r="U85" s="256">
        <f t="shared" si="21"/>
        <v>0</v>
      </c>
      <c r="V85" s="256">
        <f t="shared" si="21"/>
        <v>0</v>
      </c>
      <c r="W85" s="256">
        <f t="shared" si="21"/>
        <v>0</v>
      </c>
      <c r="X85" s="256">
        <f t="shared" si="21"/>
        <v>0</v>
      </c>
      <c r="Y85" s="256">
        <f t="shared" si="21"/>
        <v>0</v>
      </c>
      <c r="Z85" s="256">
        <f t="shared" si="21"/>
        <v>0</v>
      </c>
      <c r="AA85" s="256">
        <f t="shared" si="21"/>
        <v>0</v>
      </c>
      <c r="AB85" s="256">
        <f t="shared" si="21"/>
        <v>0</v>
      </c>
      <c r="AC85" s="256">
        <f t="shared" si="21"/>
        <v>0</v>
      </c>
      <c r="AD85" s="256">
        <f t="shared" si="21"/>
        <v>0</v>
      </c>
      <c r="AE85" s="256">
        <f t="shared" si="21"/>
        <v>0</v>
      </c>
      <c r="AF85" s="256">
        <f t="shared" si="21"/>
        <v>0</v>
      </c>
      <c r="AG85" s="266"/>
      <c r="AH85" s="226">
        <f t="shared" si="15"/>
        <v>0</v>
      </c>
      <c r="AI85" s="227">
        <f t="shared" si="17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5"/>
        <v>0</v>
      </c>
      <c r="AI86" s="227">
        <f t="shared" si="17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345.6</v>
      </c>
      <c r="C87" s="241">
        <f t="shared" ref="C87:AF87" si="22">SUM(C81:C86)</f>
        <v>380</v>
      </c>
      <c r="D87" s="241">
        <f t="shared" si="22"/>
        <v>351</v>
      </c>
      <c r="E87" s="241">
        <f t="shared" si="22"/>
        <v>388</v>
      </c>
      <c r="F87" s="241">
        <f t="shared" si="22"/>
        <v>375</v>
      </c>
      <c r="G87" s="241">
        <f t="shared" si="22"/>
        <v>379</v>
      </c>
      <c r="H87" s="241">
        <f t="shared" si="22"/>
        <v>410</v>
      </c>
      <c r="I87" s="241">
        <f t="shared" si="22"/>
        <v>399</v>
      </c>
      <c r="J87" s="241">
        <f t="shared" si="22"/>
        <v>420</v>
      </c>
      <c r="K87" s="241">
        <f t="shared" si="22"/>
        <v>386</v>
      </c>
      <c r="L87" s="241">
        <f t="shared" si="22"/>
        <v>390</v>
      </c>
      <c r="M87" s="241">
        <f t="shared" si="22"/>
        <v>350</v>
      </c>
      <c r="N87" s="241">
        <f t="shared" si="22"/>
        <v>320</v>
      </c>
      <c r="O87" s="241">
        <f t="shared" si="22"/>
        <v>340</v>
      </c>
      <c r="P87" s="241">
        <f t="shared" si="22"/>
        <v>306</v>
      </c>
      <c r="Q87" s="241">
        <f t="shared" si="22"/>
        <v>320</v>
      </c>
      <c r="R87" s="241">
        <f t="shared" si="22"/>
        <v>340</v>
      </c>
      <c r="S87" s="241">
        <f t="shared" si="22"/>
        <v>322</v>
      </c>
      <c r="T87" s="241">
        <f t="shared" si="22"/>
        <v>332</v>
      </c>
      <c r="U87" s="241">
        <f t="shared" si="22"/>
        <v>317</v>
      </c>
      <c r="V87" s="241">
        <f t="shared" si="22"/>
        <v>364</v>
      </c>
      <c r="W87" s="241">
        <f t="shared" si="22"/>
        <v>330</v>
      </c>
      <c r="X87" s="241">
        <f t="shared" si="22"/>
        <v>330</v>
      </c>
      <c r="Y87" s="241">
        <f t="shared" si="22"/>
        <v>280</v>
      </c>
      <c r="Z87" s="241">
        <f t="shared" si="22"/>
        <v>282</v>
      </c>
      <c r="AA87" s="241">
        <f t="shared" si="22"/>
        <v>243</v>
      </c>
      <c r="AB87" s="241">
        <f t="shared" si="22"/>
        <v>230</v>
      </c>
      <c r="AC87" s="241">
        <f t="shared" si="22"/>
        <v>206</v>
      </c>
      <c r="AD87" s="241">
        <f t="shared" si="22"/>
        <v>240</v>
      </c>
      <c r="AE87" s="241">
        <f t="shared" si="22"/>
        <v>284</v>
      </c>
      <c r="AF87" s="241">
        <f t="shared" si="22"/>
        <v>331</v>
      </c>
      <c r="AG87" s="261"/>
      <c r="AH87" s="226">
        <f t="shared" si="15"/>
        <v>420</v>
      </c>
      <c r="AI87" s="227">
        <f t="shared" si="17"/>
        <v>206</v>
      </c>
      <c r="AK87" s="228"/>
    </row>
    <row r="88" spans="1:88" s="175" customFormat="1" ht="15.75" thickBot="1" x14ac:dyDescent="0.3">
      <c r="A88" s="254" t="s">
        <v>93</v>
      </c>
      <c r="B88" s="241">
        <f>B72-B87</f>
        <v>-341.1</v>
      </c>
      <c r="C88" s="241">
        <f t="shared" ref="C88:AF88" si="23">C72-C87</f>
        <v>-375.5</v>
      </c>
      <c r="D88" s="241">
        <f t="shared" si="23"/>
        <v>-346.5</v>
      </c>
      <c r="E88" s="241">
        <f t="shared" si="23"/>
        <v>-383.5</v>
      </c>
      <c r="F88" s="241">
        <f t="shared" si="23"/>
        <v>-370.5</v>
      </c>
      <c r="G88" s="241">
        <f t="shared" si="23"/>
        <v>-379</v>
      </c>
      <c r="H88" s="241">
        <f t="shared" si="23"/>
        <v>-410</v>
      </c>
      <c r="I88" s="241">
        <f t="shared" si="23"/>
        <v>-399</v>
      </c>
      <c r="J88" s="241">
        <f t="shared" si="23"/>
        <v>-420</v>
      </c>
      <c r="K88" s="241">
        <f t="shared" si="23"/>
        <v>-386</v>
      </c>
      <c r="L88" s="241">
        <f t="shared" si="23"/>
        <v>-390</v>
      </c>
      <c r="M88" s="241">
        <f t="shared" si="23"/>
        <v>-350</v>
      </c>
      <c r="N88" s="241">
        <f t="shared" si="23"/>
        <v>-320</v>
      </c>
      <c r="O88" s="241">
        <f t="shared" si="23"/>
        <v>-340</v>
      </c>
      <c r="P88" s="241">
        <f t="shared" si="23"/>
        <v>-306</v>
      </c>
      <c r="Q88" s="241">
        <f t="shared" si="23"/>
        <v>-320</v>
      </c>
      <c r="R88" s="241">
        <f t="shared" si="23"/>
        <v>-340</v>
      </c>
      <c r="S88" s="241">
        <f t="shared" si="23"/>
        <v>-322</v>
      </c>
      <c r="T88" s="241">
        <f t="shared" si="23"/>
        <v>-332</v>
      </c>
      <c r="U88" s="241">
        <f t="shared" si="23"/>
        <v>-317</v>
      </c>
      <c r="V88" s="241">
        <f t="shared" si="23"/>
        <v>-364</v>
      </c>
      <c r="W88" s="241">
        <f t="shared" si="23"/>
        <v>-330</v>
      </c>
      <c r="X88" s="241">
        <f t="shared" si="23"/>
        <v>-330</v>
      </c>
      <c r="Y88" s="241">
        <f t="shared" si="23"/>
        <v>-280</v>
      </c>
      <c r="Z88" s="241">
        <f t="shared" si="23"/>
        <v>-248.3</v>
      </c>
      <c r="AA88" s="241">
        <f t="shared" si="23"/>
        <v>-180.5</v>
      </c>
      <c r="AB88" s="241">
        <f t="shared" si="23"/>
        <v>-178.2</v>
      </c>
      <c r="AC88" s="241">
        <f t="shared" si="23"/>
        <v>-148.69999999999999</v>
      </c>
      <c r="AD88" s="241">
        <f t="shared" si="23"/>
        <v>-169</v>
      </c>
      <c r="AE88" s="241">
        <f t="shared" si="23"/>
        <v>-207.6</v>
      </c>
      <c r="AF88" s="241">
        <f t="shared" si="23"/>
        <v>-326.5</v>
      </c>
      <c r="AG88" s="261"/>
      <c r="AH88" s="226">
        <f t="shared" si="15"/>
        <v>-148.69999999999999</v>
      </c>
      <c r="AI88" s="227">
        <f t="shared" si="17"/>
        <v>-420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49.915999999999997</v>
      </c>
      <c r="C89" s="269">
        <v>50.027999999999999</v>
      </c>
      <c r="D89" s="269">
        <v>49.970999999999997</v>
      </c>
      <c r="E89" s="269">
        <v>50.003999999999998</v>
      </c>
      <c r="F89" s="269">
        <v>50.030999999999999</v>
      </c>
      <c r="G89" s="269">
        <v>50.000999999999998</v>
      </c>
      <c r="H89" s="269">
        <v>50.030999999999999</v>
      </c>
      <c r="I89" s="269">
        <v>50.018000000000001</v>
      </c>
      <c r="J89" s="269">
        <v>49.981999999999999</v>
      </c>
      <c r="K89" s="269">
        <v>50.034999999999997</v>
      </c>
      <c r="L89" s="269">
        <v>50.05</v>
      </c>
      <c r="M89" s="269">
        <v>50.14</v>
      </c>
      <c r="N89" s="269">
        <v>50.14</v>
      </c>
      <c r="O89" s="269">
        <v>50.012999999999998</v>
      </c>
      <c r="P89" s="269">
        <v>49.978999999999999</v>
      </c>
      <c r="Q89" s="269">
        <v>49.978999999999999</v>
      </c>
      <c r="R89" s="269">
        <v>49.84</v>
      </c>
      <c r="S89" s="269">
        <v>50.027000000000001</v>
      </c>
      <c r="T89" s="269">
        <v>49.976999999999997</v>
      </c>
      <c r="U89" s="269">
        <v>49.917999999999999</v>
      </c>
      <c r="V89" s="269">
        <v>49.923000000000002</v>
      </c>
      <c r="W89" s="269">
        <v>50.081000000000003</v>
      </c>
      <c r="X89" s="269">
        <v>50.029000000000003</v>
      </c>
      <c r="Y89" s="269">
        <v>50</v>
      </c>
      <c r="Z89" s="269">
        <v>49.802999999999997</v>
      </c>
      <c r="AA89" s="269">
        <v>49.78</v>
      </c>
      <c r="AB89" s="269">
        <v>49.86</v>
      </c>
      <c r="AC89" s="269">
        <v>49.99</v>
      </c>
      <c r="AD89" s="269">
        <v>49.921999999999997</v>
      </c>
      <c r="AE89" s="269">
        <v>49.978999999999999</v>
      </c>
      <c r="AF89" s="269">
        <v>50.023000000000003</v>
      </c>
      <c r="AG89" s="270"/>
      <c r="AH89" s="226">
        <f t="shared" si="15"/>
        <v>50.14</v>
      </c>
      <c r="AI89" s="227">
        <f t="shared" si="17"/>
        <v>49.78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122.3</v>
      </c>
      <c r="C90" s="245">
        <v>124</v>
      </c>
      <c r="D90" s="245">
        <v>123.4</v>
      </c>
      <c r="E90" s="245">
        <v>123.8</v>
      </c>
      <c r="F90" s="245">
        <v>123.1</v>
      </c>
      <c r="G90" s="245">
        <v>124.1</v>
      </c>
      <c r="H90" s="245">
        <v>123.9</v>
      </c>
      <c r="I90" s="245">
        <v>123.6</v>
      </c>
      <c r="J90" s="245">
        <v>125.1</v>
      </c>
      <c r="K90" s="245">
        <v>124.7</v>
      </c>
      <c r="L90" s="245">
        <v>125.1</v>
      </c>
      <c r="M90" s="245">
        <v>124.4</v>
      </c>
      <c r="N90" s="245">
        <v>124.4</v>
      </c>
      <c r="O90" s="245">
        <v>123</v>
      </c>
      <c r="P90" s="245">
        <v>123</v>
      </c>
      <c r="Q90" s="245">
        <v>123</v>
      </c>
      <c r="R90" s="245">
        <v>123</v>
      </c>
      <c r="S90" s="245">
        <v>123.6</v>
      </c>
      <c r="T90" s="245">
        <v>123.7</v>
      </c>
      <c r="U90" s="245">
        <v>122.8</v>
      </c>
      <c r="V90" s="245">
        <v>122.4</v>
      </c>
      <c r="W90" s="245">
        <v>124.7</v>
      </c>
      <c r="X90" s="245">
        <v>124.9</v>
      </c>
      <c r="Y90" s="245">
        <v>125.3</v>
      </c>
      <c r="Z90" s="245">
        <v>126.5</v>
      </c>
      <c r="AA90" s="245">
        <v>126.7</v>
      </c>
      <c r="AB90" s="245">
        <v>124.2</v>
      </c>
      <c r="AC90" s="245">
        <v>124.2</v>
      </c>
      <c r="AD90" s="245">
        <v>124</v>
      </c>
      <c r="AE90" s="245">
        <v>125</v>
      </c>
      <c r="AF90" s="245">
        <v>125</v>
      </c>
      <c r="AG90" s="272"/>
      <c r="AH90" s="226">
        <f t="shared" si="15"/>
        <v>126.7</v>
      </c>
      <c r="AI90" s="227">
        <f t="shared" si="17"/>
        <v>122.3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127.2</v>
      </c>
      <c r="C91" s="245">
        <v>128.69999999999999</v>
      </c>
      <c r="D91" s="245">
        <v>128.30000000000001</v>
      </c>
      <c r="E91" s="245">
        <v>128.80000000000001</v>
      </c>
      <c r="F91" s="245">
        <v>128.1</v>
      </c>
      <c r="G91" s="245">
        <v>128.69999999999999</v>
      </c>
      <c r="H91" s="245">
        <v>128.19999999999999</v>
      </c>
      <c r="I91" s="245">
        <v>127.7</v>
      </c>
      <c r="J91" s="245">
        <v>127.7</v>
      </c>
      <c r="K91" s="245">
        <v>127.6</v>
      </c>
      <c r="L91" s="245">
        <v>127.7</v>
      </c>
      <c r="M91" s="245">
        <v>127</v>
      </c>
      <c r="N91" s="245">
        <v>127</v>
      </c>
      <c r="O91" s="245">
        <v>126</v>
      </c>
      <c r="P91" s="245">
        <v>126</v>
      </c>
      <c r="Q91" s="245">
        <v>126</v>
      </c>
      <c r="R91" s="245">
        <v>126</v>
      </c>
      <c r="S91" s="245">
        <v>127</v>
      </c>
      <c r="T91" s="245">
        <v>127.2</v>
      </c>
      <c r="U91" s="245">
        <v>125.4</v>
      </c>
      <c r="V91" s="245">
        <v>125.5</v>
      </c>
      <c r="W91" s="245">
        <v>127.4</v>
      </c>
      <c r="X91" s="245">
        <v>128</v>
      </c>
      <c r="Y91" s="245">
        <v>128</v>
      </c>
      <c r="Z91" s="245">
        <v>130.19999999999999</v>
      </c>
      <c r="AA91" s="245">
        <v>130</v>
      </c>
      <c r="AB91" s="245">
        <v>127.8</v>
      </c>
      <c r="AC91" s="245">
        <v>127.7</v>
      </c>
      <c r="AD91" s="245">
        <v>127.7</v>
      </c>
      <c r="AE91" s="245">
        <v>127.7</v>
      </c>
      <c r="AF91" s="245">
        <v>127.7</v>
      </c>
      <c r="AG91" s="272"/>
      <c r="AH91" s="226">
        <f t="shared" si="15"/>
        <v>130.19999999999999</v>
      </c>
      <c r="AI91" s="227">
        <f t="shared" si="17"/>
        <v>125.4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127.2</v>
      </c>
      <c r="C92" s="245">
        <v>128.80000000000001</v>
      </c>
      <c r="D92" s="245">
        <v>129.1</v>
      </c>
      <c r="E92" s="245">
        <v>129.69999999999999</v>
      </c>
      <c r="F92" s="245">
        <v>128.30000000000001</v>
      </c>
      <c r="G92" s="245">
        <v>127.8</v>
      </c>
      <c r="H92" s="245">
        <v>129.1</v>
      </c>
      <c r="I92" s="245">
        <v>130.30000000000001</v>
      </c>
      <c r="J92" s="245">
        <v>130.30000000000001</v>
      </c>
      <c r="K92" s="245">
        <v>129.4</v>
      </c>
      <c r="L92" s="245">
        <v>130</v>
      </c>
      <c r="M92" s="245">
        <v>129.4</v>
      </c>
      <c r="N92" s="245">
        <v>129.4</v>
      </c>
      <c r="O92" s="245">
        <v>131</v>
      </c>
      <c r="P92" s="245">
        <v>131</v>
      </c>
      <c r="Q92" s="245">
        <v>131</v>
      </c>
      <c r="R92" s="245">
        <v>131</v>
      </c>
      <c r="S92" s="245">
        <v>131.69999999999999</v>
      </c>
      <c r="T92" s="245">
        <v>131</v>
      </c>
      <c r="U92" s="245">
        <v>130.69999999999999</v>
      </c>
      <c r="V92" s="245">
        <v>131.19999999999999</v>
      </c>
      <c r="W92" s="245">
        <v>131.1</v>
      </c>
      <c r="X92" s="245">
        <v>131.80000000000001</v>
      </c>
      <c r="Y92" s="245">
        <v>130</v>
      </c>
      <c r="Z92" s="245">
        <v>130.4</v>
      </c>
      <c r="AA92" s="245">
        <v>128.80000000000001</v>
      </c>
      <c r="AB92" s="245">
        <v>128.5</v>
      </c>
      <c r="AC92" s="245">
        <v>127.8</v>
      </c>
      <c r="AD92" s="245">
        <v>129</v>
      </c>
      <c r="AE92" s="245">
        <v>129</v>
      </c>
      <c r="AF92" s="245">
        <v>129</v>
      </c>
      <c r="AG92" s="272"/>
      <c r="AH92" s="226">
        <f t="shared" si="15"/>
        <v>131.80000000000001</v>
      </c>
      <c r="AI92" s="227">
        <f t="shared" si="17"/>
        <v>127.2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130.80000000000001</v>
      </c>
      <c r="C93" s="245">
        <v>132</v>
      </c>
      <c r="D93" s="245">
        <v>132.80000000000001</v>
      </c>
      <c r="E93" s="245">
        <v>133.1</v>
      </c>
      <c r="F93" s="245">
        <v>132.30000000000001</v>
      </c>
      <c r="G93" s="245">
        <v>132.4</v>
      </c>
      <c r="H93" s="245">
        <v>133.4</v>
      </c>
      <c r="I93" s="245">
        <v>133.9</v>
      </c>
      <c r="J93" s="245">
        <v>133.9</v>
      </c>
      <c r="K93" s="245">
        <v>133.1</v>
      </c>
      <c r="L93" s="245">
        <v>132.9</v>
      </c>
      <c r="M93" s="245">
        <v>131.1</v>
      </c>
      <c r="N93" s="245">
        <v>131.1</v>
      </c>
      <c r="O93" s="245">
        <v>133</v>
      </c>
      <c r="P93" s="245">
        <v>133</v>
      </c>
      <c r="Q93" s="245">
        <v>133</v>
      </c>
      <c r="R93" s="245">
        <v>133</v>
      </c>
      <c r="S93" s="245">
        <v>135</v>
      </c>
      <c r="T93" s="245">
        <v>133.5</v>
      </c>
      <c r="U93" s="245">
        <v>133.9</v>
      </c>
      <c r="V93" s="245">
        <v>134.19999999999999</v>
      </c>
      <c r="W93" s="245">
        <v>134.30000000000001</v>
      </c>
      <c r="X93" s="245">
        <v>135.1</v>
      </c>
      <c r="Y93" s="245">
        <v>133</v>
      </c>
      <c r="Z93" s="245">
        <v>133.80000000000001</v>
      </c>
      <c r="AA93" s="245">
        <v>132.6</v>
      </c>
      <c r="AB93" s="245">
        <v>132.4</v>
      </c>
      <c r="AC93" s="245">
        <v>131.69999999999999</v>
      </c>
      <c r="AD93" s="245">
        <v>133.69999999999999</v>
      </c>
      <c r="AE93" s="245">
        <v>133.69999999999999</v>
      </c>
      <c r="AF93" s="245">
        <v>133.69999999999999</v>
      </c>
      <c r="AG93" s="272"/>
      <c r="AH93" s="226">
        <f t="shared" si="15"/>
        <v>135.1</v>
      </c>
      <c r="AI93" s="227">
        <f t="shared" si="17"/>
        <v>130.80000000000001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130</v>
      </c>
      <c r="C94" s="274">
        <v>135.4</v>
      </c>
      <c r="D94" s="274">
        <v>134.6</v>
      </c>
      <c r="E94" s="274">
        <v>133.6</v>
      </c>
      <c r="F94" s="274">
        <v>130.30000000000001</v>
      </c>
      <c r="G94" s="274">
        <v>133</v>
      </c>
      <c r="H94" s="274">
        <v>130</v>
      </c>
      <c r="I94" s="274">
        <v>134.30000000000001</v>
      </c>
      <c r="J94" s="274">
        <v>134.30000000000001</v>
      </c>
      <c r="K94" s="274">
        <v>134.6</v>
      </c>
      <c r="L94" s="274">
        <v>132.4</v>
      </c>
      <c r="M94" s="274">
        <v>133.6</v>
      </c>
      <c r="N94" s="274">
        <v>133.6</v>
      </c>
      <c r="O94" s="274">
        <v>130</v>
      </c>
      <c r="P94" s="274">
        <v>130</v>
      </c>
      <c r="Q94" s="274">
        <v>130</v>
      </c>
      <c r="R94" s="274">
        <v>130</v>
      </c>
      <c r="S94" s="274">
        <v>131.1</v>
      </c>
      <c r="T94" s="274">
        <v>132.9</v>
      </c>
      <c r="U94" s="274">
        <v>132.6</v>
      </c>
      <c r="V94" s="274">
        <v>135.4</v>
      </c>
      <c r="W94" s="274">
        <v>133.80000000000001</v>
      </c>
      <c r="X94" s="274">
        <v>134.80000000000001</v>
      </c>
      <c r="Y94" s="274">
        <v>131</v>
      </c>
      <c r="Z94" s="274">
        <v>134.5</v>
      </c>
      <c r="AA94" s="274">
        <v>134.5</v>
      </c>
      <c r="AB94" s="274">
        <v>134.1</v>
      </c>
      <c r="AC94" s="274">
        <v>130</v>
      </c>
      <c r="AD94" s="274">
        <v>130.69999999999999</v>
      </c>
      <c r="AE94" s="274">
        <v>130.69999999999999</v>
      </c>
      <c r="AF94" s="274">
        <v>130.69999999999999</v>
      </c>
      <c r="AG94" s="275"/>
      <c r="AH94" s="226">
        <f t="shared" si="15"/>
        <v>135.4</v>
      </c>
      <c r="AI94" s="227">
        <f t="shared" si="17"/>
        <v>130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127.5</v>
      </c>
      <c r="C95" s="245">
        <v>132.80000000000001</v>
      </c>
      <c r="D95" s="245">
        <v>129.69999999999999</v>
      </c>
      <c r="E95" s="245">
        <v>130.69999999999999</v>
      </c>
      <c r="F95" s="245">
        <v>129.30000000000001</v>
      </c>
      <c r="G95" s="245">
        <v>132.80000000000001</v>
      </c>
      <c r="H95" s="245">
        <v>130.4</v>
      </c>
      <c r="I95" s="245">
        <v>132</v>
      </c>
      <c r="J95" s="245">
        <v>132</v>
      </c>
      <c r="K95" s="245">
        <v>132.9</v>
      </c>
      <c r="L95" s="245">
        <v>129.19999999999999</v>
      </c>
      <c r="M95" s="245">
        <v>133.6</v>
      </c>
      <c r="N95" s="245">
        <v>133.6</v>
      </c>
      <c r="O95" s="245">
        <v>129</v>
      </c>
      <c r="P95" s="245">
        <v>129</v>
      </c>
      <c r="Q95" s="245">
        <v>129</v>
      </c>
      <c r="R95" s="245">
        <v>129</v>
      </c>
      <c r="S95" s="245">
        <v>127.7</v>
      </c>
      <c r="T95" s="245">
        <v>128</v>
      </c>
      <c r="U95" s="245">
        <v>131.80000000000001</v>
      </c>
      <c r="V95" s="245">
        <v>135.19999999999999</v>
      </c>
      <c r="W95" s="245">
        <v>132.30000000000001</v>
      </c>
      <c r="X95" s="245">
        <v>135.19999999999999</v>
      </c>
      <c r="Y95" s="245">
        <v>133</v>
      </c>
      <c r="Z95" s="245">
        <v>134</v>
      </c>
      <c r="AA95" s="245">
        <v>124.7</v>
      </c>
      <c r="AB95" s="245">
        <v>128.69999999999999</v>
      </c>
      <c r="AC95" s="245">
        <v>130.4</v>
      </c>
      <c r="AD95" s="245">
        <v>130</v>
      </c>
      <c r="AE95" s="245">
        <v>130</v>
      </c>
      <c r="AF95" s="245">
        <v>130</v>
      </c>
      <c r="AG95" s="272"/>
      <c r="AH95" s="226">
        <f t="shared" si="15"/>
        <v>135.19999999999999</v>
      </c>
      <c r="AI95" s="227">
        <f t="shared" si="17"/>
        <v>124.7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64.5</v>
      </c>
      <c r="C96" s="276">
        <v>65.3</v>
      </c>
      <c r="D96" s="276">
        <v>64.900000000000006</v>
      </c>
      <c r="E96" s="276">
        <v>65.3</v>
      </c>
      <c r="F96" s="276">
        <v>65.099999999999994</v>
      </c>
      <c r="G96" s="276">
        <v>65.5</v>
      </c>
      <c r="H96" s="276">
        <v>65</v>
      </c>
      <c r="I96" s="276">
        <v>64.599999999999994</v>
      </c>
      <c r="J96" s="276">
        <v>64.599999999999994</v>
      </c>
      <c r="K96" s="276">
        <v>64.3</v>
      </c>
      <c r="L96" s="276">
        <v>64.599999999999994</v>
      </c>
      <c r="M96" s="276">
        <v>64.2</v>
      </c>
      <c r="N96" s="276">
        <v>64.2</v>
      </c>
      <c r="O96" s="276">
        <v>64</v>
      </c>
      <c r="P96" s="276">
        <v>64</v>
      </c>
      <c r="Q96" s="276">
        <v>64</v>
      </c>
      <c r="R96" s="276">
        <v>64</v>
      </c>
      <c r="S96" s="276">
        <v>64</v>
      </c>
      <c r="T96" s="276">
        <v>64.2</v>
      </c>
      <c r="U96" s="276">
        <v>63.5</v>
      </c>
      <c r="V96" s="276">
        <v>63.8</v>
      </c>
      <c r="W96" s="276">
        <v>64.8</v>
      </c>
      <c r="X96" s="276">
        <v>65.099999999999994</v>
      </c>
      <c r="Y96" s="276">
        <v>65.099999999999994</v>
      </c>
      <c r="Z96" s="276">
        <v>65.900000000000006</v>
      </c>
      <c r="AA96" s="276">
        <v>65.8</v>
      </c>
      <c r="AB96" s="276">
        <v>64.900000000000006</v>
      </c>
      <c r="AC96" s="276">
        <v>64.8</v>
      </c>
      <c r="AD96" s="276">
        <v>64.8</v>
      </c>
      <c r="AE96" s="276">
        <v>64.8</v>
      </c>
      <c r="AF96" s="276">
        <v>64.8</v>
      </c>
      <c r="AG96" s="277"/>
      <c r="AH96" s="226">
        <f t="shared" si="15"/>
        <v>65.900000000000006</v>
      </c>
      <c r="AI96" s="227">
        <f t="shared" si="17"/>
        <v>63.5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5"/>
        <v>0</v>
      </c>
      <c r="AI97" s="227">
        <f t="shared" si="17"/>
        <v>0</v>
      </c>
    </row>
    <row r="98" spans="1:37" ht="15.75" thickBot="1" x14ac:dyDescent="0.3">
      <c r="A98" s="279" t="s">
        <v>102</v>
      </c>
      <c r="B98" s="280">
        <f t="shared" ref="B98:AF98" si="24">SUM(B15,B18,B21:B22,B46,B48:B49,B51,B53,B99:B102,B124,B130,B136,B145,B147,B159,B166,B169:B170,B177,B179,B181,B185:B187,B189:B191,B196,B202:B203,B205:B207,B215,B220)</f>
        <v>54.70000000000001</v>
      </c>
      <c r="C98" s="280">
        <f t="shared" si="24"/>
        <v>40.739999999999995</v>
      </c>
      <c r="D98" s="280">
        <f t="shared" si="24"/>
        <v>15.940000000000007</v>
      </c>
      <c r="E98" s="280">
        <f t="shared" si="24"/>
        <v>13.440000000000007</v>
      </c>
      <c r="F98" s="280">
        <f t="shared" si="24"/>
        <v>17.240000000000006</v>
      </c>
      <c r="G98" s="280">
        <f t="shared" si="24"/>
        <v>34.740000000000009</v>
      </c>
      <c r="H98" s="280">
        <f t="shared" si="24"/>
        <v>42.040000000000013</v>
      </c>
      <c r="I98" s="280">
        <f t="shared" si="24"/>
        <v>55.839999999999996</v>
      </c>
      <c r="J98" s="280">
        <f t="shared" si="24"/>
        <v>88.14</v>
      </c>
      <c r="K98" s="280">
        <f t="shared" si="24"/>
        <v>110.13999999999999</v>
      </c>
      <c r="L98" s="280">
        <f t="shared" si="24"/>
        <v>137.04000000000002</v>
      </c>
      <c r="M98" s="280">
        <f t="shared" si="24"/>
        <v>156.54</v>
      </c>
      <c r="N98" s="280">
        <f t="shared" si="24"/>
        <v>162.23999999999998</v>
      </c>
      <c r="O98" s="280">
        <f t="shared" si="24"/>
        <v>154.54</v>
      </c>
      <c r="P98" s="280">
        <f t="shared" si="24"/>
        <v>155.24</v>
      </c>
      <c r="Q98" s="280">
        <f t="shared" si="24"/>
        <v>154.30000000000001</v>
      </c>
      <c r="R98" s="280">
        <f t="shared" si="24"/>
        <v>154.30000000000001</v>
      </c>
      <c r="S98" s="280">
        <f t="shared" si="24"/>
        <v>148.5</v>
      </c>
      <c r="T98" s="280">
        <f t="shared" si="24"/>
        <v>150.70000000000002</v>
      </c>
      <c r="U98" s="280">
        <f t="shared" si="24"/>
        <v>135.9</v>
      </c>
      <c r="V98" s="280">
        <f t="shared" si="24"/>
        <v>126.1</v>
      </c>
      <c r="W98" s="280">
        <f t="shared" si="24"/>
        <v>123.6</v>
      </c>
      <c r="X98" s="280">
        <f t="shared" si="24"/>
        <v>131.1</v>
      </c>
      <c r="Y98" s="280">
        <f t="shared" si="24"/>
        <v>210</v>
      </c>
      <c r="Z98" s="280">
        <f t="shared" si="24"/>
        <v>229</v>
      </c>
      <c r="AA98" s="280">
        <f t="shared" si="24"/>
        <v>233</v>
      </c>
      <c r="AB98" s="280">
        <f t="shared" si="24"/>
        <v>200.2</v>
      </c>
      <c r="AC98" s="280">
        <f t="shared" si="24"/>
        <v>181.7</v>
      </c>
      <c r="AD98" s="280">
        <f t="shared" si="24"/>
        <v>125.39999999999998</v>
      </c>
      <c r="AE98" s="280">
        <f t="shared" si="24"/>
        <v>59.599999999999994</v>
      </c>
      <c r="AF98" s="280">
        <f t="shared" si="24"/>
        <v>59.399999999999984</v>
      </c>
      <c r="AG98" s="281"/>
      <c r="AH98" s="226">
        <f>MAX(C98:AF98)</f>
        <v>233</v>
      </c>
      <c r="AI98" s="227">
        <f>MIN(C98:AF98)</f>
        <v>13.440000000000007</v>
      </c>
    </row>
    <row r="99" spans="1:37" x14ac:dyDescent="0.25">
      <c r="A99" s="268" t="s">
        <v>103</v>
      </c>
      <c r="B99" s="282">
        <v>12.9</v>
      </c>
      <c r="C99" s="282">
        <v>14.9</v>
      </c>
      <c r="D99" s="282">
        <v>10.5</v>
      </c>
      <c r="E99" s="282">
        <v>13.8</v>
      </c>
      <c r="F99" s="282">
        <v>12.9</v>
      </c>
      <c r="G99" s="282">
        <v>11.6</v>
      </c>
      <c r="H99" s="282">
        <v>17.2</v>
      </c>
      <c r="I99" s="282">
        <v>22.2</v>
      </c>
      <c r="J99" s="282">
        <v>24.4</v>
      </c>
      <c r="K99" s="282">
        <v>25.2</v>
      </c>
      <c r="L99" s="282">
        <v>25.4</v>
      </c>
      <c r="M99" s="282">
        <v>25.7</v>
      </c>
      <c r="N99" s="282">
        <v>26</v>
      </c>
      <c r="O99" s="282">
        <v>27</v>
      </c>
      <c r="P99" s="282">
        <v>22.5</v>
      </c>
      <c r="Q99" s="282">
        <v>22.5</v>
      </c>
      <c r="R99" s="282">
        <v>22.5</v>
      </c>
      <c r="S99" s="282">
        <v>22.7</v>
      </c>
      <c r="T99" s="282">
        <v>27.6</v>
      </c>
      <c r="U99" s="282">
        <v>37</v>
      </c>
      <c r="V99" s="282">
        <v>46.1</v>
      </c>
      <c r="W99" s="282">
        <v>34.299999999999997</v>
      </c>
      <c r="X99" s="282">
        <v>31</v>
      </c>
      <c r="Y99" s="282">
        <v>35.5</v>
      </c>
      <c r="Z99" s="282">
        <v>36</v>
      </c>
      <c r="AA99" s="282">
        <v>20.6</v>
      </c>
      <c r="AB99" s="282">
        <v>16.8</v>
      </c>
      <c r="AC99" s="282">
        <v>16.399999999999999</v>
      </c>
      <c r="AD99" s="282">
        <v>16.7</v>
      </c>
      <c r="AE99" s="282">
        <v>20.5</v>
      </c>
      <c r="AF99" s="282">
        <v>12.7</v>
      </c>
      <c r="AG99" s="283">
        <v>75</v>
      </c>
      <c r="AH99" s="226">
        <f t="shared" ref="AH99:AH106" si="25">IF(ABS(MAX(C99:AF99))&gt;ABS(MIN(C99:AF99)),MAX(C99:AF99),MIN(C99:AF99))</f>
        <v>46.1</v>
      </c>
      <c r="AI99" s="284">
        <f t="shared" ref="AI99:AI106" si="26">INDEX($C$9:$AF$9,1,MATCH(AH99,C99:AF99,0))</f>
        <v>0.70833333333333304</v>
      </c>
    </row>
    <row r="100" spans="1:37" x14ac:dyDescent="0.25">
      <c r="A100" s="271" t="s">
        <v>104</v>
      </c>
      <c r="B100" s="285">
        <f>-70.5-75</f>
        <v>-145.5</v>
      </c>
      <c r="C100" s="285">
        <f>-73.6-77.7</f>
        <v>-151.30000000000001</v>
      </c>
      <c r="D100" s="285">
        <f>-74-78</f>
        <v>-152</v>
      </c>
      <c r="E100" s="285">
        <f>-74.3-78.5</f>
        <v>-152.80000000000001</v>
      </c>
      <c r="F100" s="285">
        <f>-72.9-76</f>
        <v>-148.9</v>
      </c>
      <c r="G100" s="285">
        <f>-65.2-70</f>
        <v>-135.19999999999999</v>
      </c>
      <c r="H100" s="285">
        <f>-64.8-69.6</f>
        <v>-134.39999999999998</v>
      </c>
      <c r="I100" s="285">
        <f>-61.2-64.1</f>
        <v>-125.3</v>
      </c>
      <c r="J100" s="285">
        <f>-48.6-52.2</f>
        <v>-100.80000000000001</v>
      </c>
      <c r="K100" s="285">
        <f>-40-42.7</f>
        <v>-82.7</v>
      </c>
      <c r="L100" s="285">
        <f>-46.4-49.8</f>
        <v>-96.199999999999989</v>
      </c>
      <c r="M100" s="285">
        <v>-87</v>
      </c>
      <c r="N100" s="285">
        <v>-87</v>
      </c>
      <c r="O100" s="285">
        <v>-91</v>
      </c>
      <c r="P100" s="285">
        <v>-89</v>
      </c>
      <c r="Q100" s="285">
        <v>-89</v>
      </c>
      <c r="R100" s="285">
        <v>-89</v>
      </c>
      <c r="S100" s="285">
        <f>-49-52.3</f>
        <v>-101.3</v>
      </c>
      <c r="T100" s="285">
        <f>-52.1-55</f>
        <v>-107.1</v>
      </c>
      <c r="U100" s="285">
        <f>-17.4-18.7</f>
        <v>-36.099999999999994</v>
      </c>
      <c r="V100" s="285">
        <f>-28.6-30.8</f>
        <v>-59.400000000000006</v>
      </c>
      <c r="W100" s="285">
        <f>-30.2-32.8</f>
        <v>-63</v>
      </c>
      <c r="X100" s="285">
        <f>-26.2-28.2</f>
        <v>-54.4</v>
      </c>
      <c r="Y100" s="285">
        <v>-86</v>
      </c>
      <c r="Z100" s="285">
        <f>-24-29</f>
        <v>-53</v>
      </c>
      <c r="AA100" s="285">
        <f>-16.2-23.7</f>
        <v>-39.9</v>
      </c>
      <c r="AB100" s="285">
        <f>-44.6-47.2</f>
        <v>-91.800000000000011</v>
      </c>
      <c r="AC100" s="285">
        <f>-47.8-51.3</f>
        <v>-99.1</v>
      </c>
      <c r="AD100" s="285">
        <v>-116</v>
      </c>
      <c r="AE100" s="285">
        <v>-128</v>
      </c>
      <c r="AF100" s="285">
        <v>-128</v>
      </c>
      <c r="AG100" s="283">
        <v>240</v>
      </c>
      <c r="AH100" s="226">
        <f t="shared" si="25"/>
        <v>-152.80000000000001</v>
      </c>
      <c r="AI100" s="284">
        <f t="shared" si="26"/>
        <v>0.125</v>
      </c>
    </row>
    <row r="101" spans="1:37" x14ac:dyDescent="0.25">
      <c r="A101" s="271" t="s">
        <v>105</v>
      </c>
      <c r="B101" s="285">
        <v>-6.6</v>
      </c>
      <c r="C101" s="285">
        <v>-7.7</v>
      </c>
      <c r="D101" s="285">
        <v>-7.4</v>
      </c>
      <c r="E101" s="285">
        <v>-12.4</v>
      </c>
      <c r="F101" s="285">
        <v>-11.6</v>
      </c>
      <c r="G101" s="285">
        <v>-6.5</v>
      </c>
      <c r="H101" s="285">
        <v>-5.6</v>
      </c>
      <c r="I101" s="285">
        <v>-5.9</v>
      </c>
      <c r="J101" s="285">
        <v>-0.3</v>
      </c>
      <c r="K101" s="285">
        <v>2.8</v>
      </c>
      <c r="L101" s="285">
        <v>2.1</v>
      </c>
      <c r="M101" s="285">
        <v>1.2</v>
      </c>
      <c r="N101" s="285">
        <v>6.6</v>
      </c>
      <c r="O101" s="285">
        <v>5</v>
      </c>
      <c r="P101" s="285">
        <v>3.2</v>
      </c>
      <c r="Q101" s="285">
        <v>3.2</v>
      </c>
      <c r="R101" s="285">
        <v>3.2</v>
      </c>
      <c r="S101" s="285">
        <v>0</v>
      </c>
      <c r="T101" s="285">
        <v>4.2</v>
      </c>
      <c r="U101" s="285">
        <v>8.1</v>
      </c>
      <c r="V101" s="285">
        <v>7.5</v>
      </c>
      <c r="W101" s="285">
        <v>10.4</v>
      </c>
      <c r="X101" s="285">
        <v>12.6</v>
      </c>
      <c r="Y101" s="285">
        <v>7</v>
      </c>
      <c r="Z101" s="285">
        <v>31</v>
      </c>
      <c r="AA101" s="285">
        <v>46</v>
      </c>
      <c r="AB101" s="285">
        <v>6.8</v>
      </c>
      <c r="AC101" s="285">
        <v>2.6</v>
      </c>
      <c r="AD101" s="285">
        <v>0.7</v>
      </c>
      <c r="AE101" s="285">
        <v>-2.5</v>
      </c>
      <c r="AF101" s="285">
        <v>-4.9000000000000004</v>
      </c>
      <c r="AG101" s="283">
        <v>60</v>
      </c>
      <c r="AH101" s="226">
        <f t="shared" si="25"/>
        <v>46</v>
      </c>
      <c r="AI101" s="284">
        <f t="shared" si="26"/>
        <v>0.8125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40.9</v>
      </c>
      <c r="M102" s="287">
        <v>51.1</v>
      </c>
      <c r="N102" s="287">
        <v>51.1</v>
      </c>
      <c r="O102" s="287">
        <v>48</v>
      </c>
      <c r="P102" s="287">
        <v>53</v>
      </c>
      <c r="Q102" s="287">
        <v>53</v>
      </c>
      <c r="R102" s="287">
        <v>53</v>
      </c>
      <c r="S102" s="287">
        <v>44.5</v>
      </c>
      <c r="T102" s="287">
        <v>39.1</v>
      </c>
      <c r="U102" s="287">
        <v>0</v>
      </c>
      <c r="V102" s="287">
        <v>0</v>
      </c>
      <c r="W102" s="287">
        <v>0</v>
      </c>
      <c r="X102" s="287">
        <v>0</v>
      </c>
      <c r="Y102" s="287">
        <v>51.6</v>
      </c>
      <c r="Z102" s="287">
        <v>13.1</v>
      </c>
      <c r="AA102" s="287">
        <v>4.4000000000000004</v>
      </c>
      <c r="AB102" s="287">
        <v>73.8</v>
      </c>
      <c r="AC102" s="287">
        <v>67.2</v>
      </c>
      <c r="AD102" s="287">
        <v>54.4</v>
      </c>
      <c r="AE102" s="287">
        <v>0</v>
      </c>
      <c r="AF102" s="287">
        <v>0</v>
      </c>
      <c r="AG102" s="288">
        <v>120</v>
      </c>
      <c r="AH102" s="226">
        <f t="shared" si="25"/>
        <v>73.8</v>
      </c>
      <c r="AI102" s="284">
        <f t="shared" si="26"/>
        <v>0.83333333333333337</v>
      </c>
    </row>
    <row r="103" spans="1:37" x14ac:dyDescent="0.25">
      <c r="A103" s="286" t="s">
        <v>107</v>
      </c>
      <c r="B103" s="287">
        <v>47.5</v>
      </c>
      <c r="C103" s="287">
        <v>31</v>
      </c>
      <c r="D103" s="287">
        <v>45</v>
      </c>
      <c r="E103" s="287">
        <v>37</v>
      </c>
      <c r="F103" s="287">
        <v>43.1</v>
      </c>
      <c r="G103" s="287">
        <v>44.9</v>
      </c>
      <c r="H103" s="287">
        <v>38.4</v>
      </c>
      <c r="I103" s="287">
        <v>43</v>
      </c>
      <c r="J103" s="287">
        <v>50</v>
      </c>
      <c r="K103" s="287">
        <v>56.8</v>
      </c>
      <c r="L103" s="287">
        <v>40.299999999999997</v>
      </c>
      <c r="M103" s="287">
        <v>48</v>
      </c>
      <c r="N103" s="287">
        <v>48</v>
      </c>
      <c r="O103" s="287">
        <v>51</v>
      </c>
      <c r="P103" s="287">
        <v>57</v>
      </c>
      <c r="Q103" s="287">
        <v>57</v>
      </c>
      <c r="R103" s="287">
        <v>57</v>
      </c>
      <c r="S103" s="287">
        <v>55</v>
      </c>
      <c r="T103" s="287">
        <v>49</v>
      </c>
      <c r="U103" s="287">
        <v>83.4</v>
      </c>
      <c r="V103" s="287">
        <v>63.2</v>
      </c>
      <c r="W103" s="287">
        <v>63.1</v>
      </c>
      <c r="X103" s="287">
        <v>73.5</v>
      </c>
      <c r="Y103" s="287">
        <v>51</v>
      </c>
      <c r="Z103" s="287">
        <v>65.7</v>
      </c>
      <c r="AA103" s="287">
        <v>74.400000000000006</v>
      </c>
      <c r="AB103" s="287">
        <v>72.8</v>
      </c>
      <c r="AC103" s="287">
        <v>70.8</v>
      </c>
      <c r="AD103" s="287">
        <v>65.2</v>
      </c>
      <c r="AE103" s="287">
        <v>75</v>
      </c>
      <c r="AF103" s="287">
        <v>50.5</v>
      </c>
      <c r="AG103" s="288"/>
      <c r="AH103" s="226">
        <f t="shared" si="25"/>
        <v>83.4</v>
      </c>
      <c r="AI103" s="284">
        <f t="shared" si="26"/>
        <v>0.66666666666666696</v>
      </c>
    </row>
    <row r="104" spans="1:37" x14ac:dyDescent="0.25">
      <c r="A104" s="286" t="s">
        <v>108</v>
      </c>
      <c r="B104" s="287">
        <v>68.5</v>
      </c>
      <c r="C104" s="287">
        <v>54.2</v>
      </c>
      <c r="D104" s="287">
        <v>47.1</v>
      </c>
      <c r="E104" s="287">
        <v>35.200000000000003</v>
      </c>
      <c r="F104" s="287">
        <v>43.6</v>
      </c>
      <c r="G104" s="287">
        <v>46</v>
      </c>
      <c r="H104" s="287">
        <v>29.3</v>
      </c>
      <c r="I104" s="287">
        <v>19.600000000000001</v>
      </c>
      <c r="J104" s="287">
        <v>17.600000000000001</v>
      </c>
      <c r="K104" s="287">
        <v>37.4</v>
      </c>
      <c r="L104" s="287">
        <v>24.6</v>
      </c>
      <c r="M104" s="287">
        <v>26</v>
      </c>
      <c r="N104" s="287">
        <v>26</v>
      </c>
      <c r="O104" s="287">
        <v>23</v>
      </c>
      <c r="P104" s="287">
        <v>34</v>
      </c>
      <c r="Q104" s="287">
        <v>34</v>
      </c>
      <c r="R104" s="287">
        <v>34</v>
      </c>
      <c r="S104" s="287">
        <v>31.4</v>
      </c>
      <c r="T104" s="287">
        <v>18.7</v>
      </c>
      <c r="U104" s="287">
        <v>-1.3</v>
      </c>
      <c r="V104" s="287">
        <v>-28</v>
      </c>
      <c r="W104" s="287">
        <v>-6</v>
      </c>
      <c r="X104" s="287">
        <v>9.4</v>
      </c>
      <c r="Y104" s="287">
        <v>13</v>
      </c>
      <c r="Z104" s="287">
        <v>13</v>
      </c>
      <c r="AA104" s="287">
        <v>69</v>
      </c>
      <c r="AB104" s="287">
        <v>65.5</v>
      </c>
      <c r="AC104" s="287">
        <v>72.900000000000006</v>
      </c>
      <c r="AD104" s="287">
        <v>69.400000000000006</v>
      </c>
      <c r="AE104" s="287">
        <v>73</v>
      </c>
      <c r="AF104" s="287">
        <v>60.8</v>
      </c>
      <c r="AG104" s="289"/>
      <c r="AH104" s="226">
        <f t="shared" si="25"/>
        <v>73</v>
      </c>
      <c r="AI104" s="284">
        <f t="shared" si="26"/>
        <v>0.91666666666666696</v>
      </c>
    </row>
    <row r="105" spans="1:37" x14ac:dyDescent="0.25">
      <c r="A105" s="290" t="s">
        <v>109</v>
      </c>
      <c r="B105" s="274">
        <v>104.2</v>
      </c>
      <c r="C105" s="274">
        <v>111</v>
      </c>
      <c r="D105" s="274">
        <v>113</v>
      </c>
      <c r="E105" s="274">
        <v>115.5</v>
      </c>
      <c r="F105" s="274">
        <v>116</v>
      </c>
      <c r="G105" s="274">
        <v>118.9</v>
      </c>
      <c r="H105" s="274">
        <v>120.3</v>
      </c>
      <c r="I105" s="274">
        <v>111.9</v>
      </c>
      <c r="J105" s="274">
        <v>121.8</v>
      </c>
      <c r="K105" s="274">
        <v>120.1</v>
      </c>
      <c r="L105" s="274">
        <v>119.6</v>
      </c>
      <c r="M105" s="274">
        <v>114</v>
      </c>
      <c r="N105" s="274">
        <v>103</v>
      </c>
      <c r="O105" s="274">
        <v>104</v>
      </c>
      <c r="P105" s="274">
        <v>103</v>
      </c>
      <c r="Q105" s="274">
        <v>103</v>
      </c>
      <c r="R105" s="274">
        <v>103</v>
      </c>
      <c r="S105" s="274">
        <v>102</v>
      </c>
      <c r="T105" s="274">
        <v>98.3</v>
      </c>
      <c r="U105" s="274">
        <v>102.1</v>
      </c>
      <c r="V105" s="274">
        <v>100</v>
      </c>
      <c r="W105" s="274">
        <v>98.8</v>
      </c>
      <c r="X105" s="274">
        <v>94.2</v>
      </c>
      <c r="Y105" s="274">
        <v>84</v>
      </c>
      <c r="Z105" s="274">
        <v>82</v>
      </c>
      <c r="AA105" s="274">
        <v>84</v>
      </c>
      <c r="AB105" s="274">
        <v>86.9</v>
      </c>
      <c r="AC105" s="274">
        <v>83</v>
      </c>
      <c r="AD105" s="274">
        <v>85.2</v>
      </c>
      <c r="AE105" s="274">
        <v>97</v>
      </c>
      <c r="AF105" s="274">
        <v>93</v>
      </c>
      <c r="AG105" s="289"/>
      <c r="AH105" s="226">
        <f t="shared" si="25"/>
        <v>121.8</v>
      </c>
      <c r="AI105" s="284">
        <f t="shared" si="26"/>
        <v>0.27083333333333331</v>
      </c>
    </row>
    <row r="106" spans="1:37" ht="15.75" thickBot="1" x14ac:dyDescent="0.3">
      <c r="A106" s="290" t="s">
        <v>110</v>
      </c>
      <c r="B106" s="274">
        <v>88</v>
      </c>
      <c r="C106" s="274">
        <v>90.1</v>
      </c>
      <c r="D106" s="274">
        <v>92</v>
      </c>
      <c r="E106" s="274">
        <v>92.1</v>
      </c>
      <c r="F106" s="274">
        <v>90.8</v>
      </c>
      <c r="G106" s="274">
        <v>85.3</v>
      </c>
      <c r="H106" s="274">
        <v>89.1</v>
      </c>
      <c r="I106" s="274">
        <v>80.599999999999994</v>
      </c>
      <c r="J106" s="274">
        <v>62.5</v>
      </c>
      <c r="K106" s="274">
        <v>50.3</v>
      </c>
      <c r="L106" s="274">
        <v>59.9</v>
      </c>
      <c r="M106" s="274">
        <v>53</v>
      </c>
      <c r="N106" s="274">
        <v>53</v>
      </c>
      <c r="O106" s="274">
        <v>54</v>
      </c>
      <c r="P106" s="274">
        <v>50</v>
      </c>
      <c r="Q106" s="274">
        <v>50</v>
      </c>
      <c r="R106" s="274">
        <v>50</v>
      </c>
      <c r="S106" s="274">
        <v>56.3</v>
      </c>
      <c r="T106" s="274">
        <v>63.4</v>
      </c>
      <c r="U106" s="274">
        <v>29.3</v>
      </c>
      <c r="V106" s="274">
        <v>46.4</v>
      </c>
      <c r="W106" s="274">
        <v>44.1</v>
      </c>
      <c r="X106" s="274">
        <v>37</v>
      </c>
      <c r="Y106" s="274">
        <v>56</v>
      </c>
      <c r="Z106" s="274">
        <v>45.6</v>
      </c>
      <c r="AA106" s="274">
        <v>36.200000000000003</v>
      </c>
      <c r="AB106" s="274">
        <v>47.6</v>
      </c>
      <c r="AC106" s="274">
        <v>50.8</v>
      </c>
      <c r="AD106" s="274">
        <v>63.8</v>
      </c>
      <c r="AE106" s="274">
        <v>79.599999999999994</v>
      </c>
      <c r="AF106" s="274">
        <v>73</v>
      </c>
      <c r="AG106" s="289"/>
      <c r="AH106" s="226">
        <f t="shared" si="25"/>
        <v>92.1</v>
      </c>
      <c r="AI106" s="284">
        <f t="shared" si="26"/>
        <v>0.125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7">SUM(C108:C212)</f>
        <v>0</v>
      </c>
      <c r="D213" s="307">
        <f t="shared" si="27"/>
        <v>0</v>
      </c>
      <c r="E213" s="307">
        <f t="shared" si="27"/>
        <v>0</v>
      </c>
      <c r="F213" s="307">
        <f t="shared" si="27"/>
        <v>0</v>
      </c>
      <c r="G213" s="307">
        <f t="shared" si="27"/>
        <v>0</v>
      </c>
      <c r="H213" s="307">
        <f t="shared" si="27"/>
        <v>0</v>
      </c>
      <c r="I213" s="307">
        <f t="shared" si="27"/>
        <v>0</v>
      </c>
      <c r="J213" s="307">
        <f t="shared" si="27"/>
        <v>0</v>
      </c>
      <c r="K213" s="307">
        <f t="shared" si="27"/>
        <v>0</v>
      </c>
      <c r="L213" s="307">
        <f t="shared" si="27"/>
        <v>0</v>
      </c>
      <c r="M213" s="307">
        <f t="shared" si="27"/>
        <v>0</v>
      </c>
      <c r="N213" s="307">
        <f t="shared" si="27"/>
        <v>0</v>
      </c>
      <c r="O213" s="307">
        <f t="shared" si="27"/>
        <v>0</v>
      </c>
      <c r="P213" s="307">
        <f t="shared" si="27"/>
        <v>0</v>
      </c>
      <c r="Q213" s="307">
        <f t="shared" si="27"/>
        <v>0</v>
      </c>
      <c r="R213" s="307">
        <f t="shared" si="27"/>
        <v>0</v>
      </c>
      <c r="S213" s="307">
        <f t="shared" si="27"/>
        <v>0</v>
      </c>
      <c r="T213" s="307">
        <f t="shared" si="27"/>
        <v>0</v>
      </c>
      <c r="U213" s="307">
        <f t="shared" si="27"/>
        <v>0</v>
      </c>
      <c r="V213" s="307">
        <f t="shared" si="27"/>
        <v>0</v>
      </c>
      <c r="W213" s="307">
        <f t="shared" si="27"/>
        <v>0</v>
      </c>
      <c r="X213" s="307">
        <f t="shared" si="27"/>
        <v>0</v>
      </c>
      <c r="Y213" s="307">
        <f t="shared" si="27"/>
        <v>0</v>
      </c>
      <c r="Z213" s="307">
        <f t="shared" si="27"/>
        <v>0</v>
      </c>
      <c r="AA213" s="307">
        <f t="shared" si="27"/>
        <v>0</v>
      </c>
      <c r="AB213" s="307">
        <f t="shared" si="27"/>
        <v>0</v>
      </c>
      <c r="AC213" s="307">
        <f t="shared" si="27"/>
        <v>0</v>
      </c>
      <c r="AD213" s="307">
        <f t="shared" si="27"/>
        <v>0</v>
      </c>
      <c r="AE213" s="307">
        <f t="shared" si="27"/>
        <v>0</v>
      </c>
      <c r="AF213" s="308">
        <f t="shared" si="27"/>
        <v>0</v>
      </c>
      <c r="AG213" s="309">
        <f t="shared" si="27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8">AF215</f>
        <v>0</v>
      </c>
      <c r="C215" s="312">
        <v>0.3</v>
      </c>
      <c r="D215" s="312">
        <f t="shared" ref="D215:P220" si="29">C215</f>
        <v>0.3</v>
      </c>
      <c r="E215" s="312">
        <f t="shared" si="29"/>
        <v>0.3</v>
      </c>
      <c r="F215" s="312">
        <f t="shared" si="29"/>
        <v>0.3</v>
      </c>
      <c r="G215" s="312">
        <f t="shared" si="29"/>
        <v>0.3</v>
      </c>
      <c r="H215" s="312">
        <f t="shared" si="29"/>
        <v>0.3</v>
      </c>
      <c r="I215" s="312">
        <f t="shared" si="29"/>
        <v>0.3</v>
      </c>
      <c r="J215" s="312">
        <f t="shared" si="29"/>
        <v>0.3</v>
      </c>
      <c r="K215" s="312">
        <f t="shared" si="29"/>
        <v>0.3</v>
      </c>
      <c r="L215" s="312">
        <f t="shared" si="29"/>
        <v>0.3</v>
      </c>
      <c r="M215" s="312">
        <f t="shared" si="29"/>
        <v>0.3</v>
      </c>
      <c r="N215" s="312">
        <f t="shared" si="29"/>
        <v>0.3</v>
      </c>
      <c r="O215" s="312">
        <f t="shared" si="29"/>
        <v>0.3</v>
      </c>
      <c r="P215" s="312">
        <f t="shared" si="29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8"/>
        <v>0</v>
      </c>
      <c r="C216" s="299">
        <v>0.4</v>
      </c>
      <c r="D216" s="299">
        <f t="shared" si="29"/>
        <v>0.4</v>
      </c>
      <c r="E216" s="299">
        <f t="shared" si="29"/>
        <v>0.4</v>
      </c>
      <c r="F216" s="299">
        <f t="shared" si="29"/>
        <v>0.4</v>
      </c>
      <c r="G216" s="299">
        <f t="shared" si="29"/>
        <v>0.4</v>
      </c>
      <c r="H216" s="299">
        <f t="shared" si="29"/>
        <v>0.4</v>
      </c>
      <c r="I216" s="299">
        <f t="shared" si="29"/>
        <v>0.4</v>
      </c>
      <c r="J216" s="299">
        <f t="shared" si="29"/>
        <v>0.4</v>
      </c>
      <c r="K216" s="299">
        <f t="shared" si="29"/>
        <v>0.4</v>
      </c>
      <c r="L216" s="299">
        <f t="shared" si="29"/>
        <v>0.4</v>
      </c>
      <c r="M216" s="299">
        <f t="shared" si="29"/>
        <v>0.4</v>
      </c>
      <c r="N216" s="299">
        <f t="shared" si="29"/>
        <v>0.4</v>
      </c>
      <c r="O216" s="299">
        <f t="shared" si="29"/>
        <v>0.4</v>
      </c>
      <c r="P216" s="299">
        <f t="shared" si="29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8"/>
        <v>0</v>
      </c>
      <c r="C217" s="299">
        <v>1.5</v>
      </c>
      <c r="D217" s="299">
        <f t="shared" si="29"/>
        <v>1.5</v>
      </c>
      <c r="E217" s="299">
        <f t="shared" si="29"/>
        <v>1.5</v>
      </c>
      <c r="F217" s="299">
        <f t="shared" si="29"/>
        <v>1.5</v>
      </c>
      <c r="G217" s="299">
        <f t="shared" si="29"/>
        <v>1.5</v>
      </c>
      <c r="H217" s="299">
        <f t="shared" si="29"/>
        <v>1.5</v>
      </c>
      <c r="I217" s="299">
        <f t="shared" si="29"/>
        <v>1.5</v>
      </c>
      <c r="J217" s="299">
        <f t="shared" si="29"/>
        <v>1.5</v>
      </c>
      <c r="K217" s="299">
        <f t="shared" si="29"/>
        <v>1.5</v>
      </c>
      <c r="L217" s="299">
        <f t="shared" si="29"/>
        <v>1.5</v>
      </c>
      <c r="M217" s="299">
        <f t="shared" si="29"/>
        <v>1.5</v>
      </c>
      <c r="N217" s="299">
        <f t="shared" si="29"/>
        <v>1.5</v>
      </c>
      <c r="O217" s="299">
        <f t="shared" si="29"/>
        <v>1.5</v>
      </c>
      <c r="P217" s="299">
        <f t="shared" si="29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8"/>
        <v>0</v>
      </c>
      <c r="C218" s="299">
        <v>0.3</v>
      </c>
      <c r="D218" s="299">
        <f t="shared" si="29"/>
        <v>0.3</v>
      </c>
      <c r="E218" s="299">
        <f t="shared" si="29"/>
        <v>0.3</v>
      </c>
      <c r="F218" s="299">
        <f t="shared" si="29"/>
        <v>0.3</v>
      </c>
      <c r="G218" s="299">
        <f t="shared" si="29"/>
        <v>0.3</v>
      </c>
      <c r="H218" s="299">
        <f t="shared" si="29"/>
        <v>0.3</v>
      </c>
      <c r="I218" s="299">
        <f t="shared" si="29"/>
        <v>0.3</v>
      </c>
      <c r="J218" s="299">
        <f t="shared" si="29"/>
        <v>0.3</v>
      </c>
      <c r="K218" s="299">
        <f t="shared" si="29"/>
        <v>0.3</v>
      </c>
      <c r="L218" s="299">
        <f t="shared" si="29"/>
        <v>0.3</v>
      </c>
      <c r="M218" s="299">
        <f t="shared" si="29"/>
        <v>0.3</v>
      </c>
      <c r="N218" s="299">
        <f t="shared" si="29"/>
        <v>0.3</v>
      </c>
      <c r="O218" s="299">
        <f t="shared" si="29"/>
        <v>0.3</v>
      </c>
      <c r="P218" s="299">
        <f t="shared" si="29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8"/>
        <v>0</v>
      </c>
      <c r="C219" s="299">
        <v>0.4</v>
      </c>
      <c r="D219" s="299">
        <f t="shared" si="29"/>
        <v>0.4</v>
      </c>
      <c r="E219" s="299">
        <f t="shared" si="29"/>
        <v>0.4</v>
      </c>
      <c r="F219" s="299">
        <f t="shared" si="29"/>
        <v>0.4</v>
      </c>
      <c r="G219" s="299">
        <f t="shared" si="29"/>
        <v>0.4</v>
      </c>
      <c r="H219" s="299">
        <f t="shared" si="29"/>
        <v>0.4</v>
      </c>
      <c r="I219" s="299">
        <f t="shared" si="29"/>
        <v>0.4</v>
      </c>
      <c r="J219" s="299">
        <f t="shared" si="29"/>
        <v>0.4</v>
      </c>
      <c r="K219" s="299">
        <f t="shared" si="29"/>
        <v>0.4</v>
      </c>
      <c r="L219" s="299">
        <f t="shared" si="29"/>
        <v>0.4</v>
      </c>
      <c r="M219" s="299">
        <f t="shared" si="29"/>
        <v>0.4</v>
      </c>
      <c r="N219" s="299">
        <f t="shared" si="29"/>
        <v>0.4</v>
      </c>
      <c r="O219" s="299">
        <f t="shared" si="29"/>
        <v>0.4</v>
      </c>
      <c r="P219" s="299">
        <f t="shared" si="29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8"/>
        <v>0</v>
      </c>
      <c r="C220" s="303">
        <v>0.64</v>
      </c>
      <c r="D220" s="303">
        <f t="shared" si="29"/>
        <v>0.64</v>
      </c>
      <c r="E220" s="303">
        <f t="shared" si="29"/>
        <v>0.64</v>
      </c>
      <c r="F220" s="303">
        <f t="shared" si="29"/>
        <v>0.64</v>
      </c>
      <c r="G220" s="303">
        <f t="shared" si="29"/>
        <v>0.64</v>
      </c>
      <c r="H220" s="303">
        <f t="shared" si="29"/>
        <v>0.64</v>
      </c>
      <c r="I220" s="303">
        <f t="shared" si="29"/>
        <v>0.64</v>
      </c>
      <c r="J220" s="303">
        <f t="shared" si="29"/>
        <v>0.64</v>
      </c>
      <c r="K220" s="303">
        <f t="shared" si="29"/>
        <v>0.64</v>
      </c>
      <c r="L220" s="303">
        <f t="shared" si="29"/>
        <v>0.64</v>
      </c>
      <c r="M220" s="303">
        <f t="shared" si="29"/>
        <v>0.64</v>
      </c>
      <c r="N220" s="303">
        <f t="shared" si="29"/>
        <v>0.64</v>
      </c>
      <c r="O220" s="303">
        <f t="shared" si="29"/>
        <v>0.64</v>
      </c>
      <c r="P220" s="303">
        <f t="shared" si="29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30">SUM(D215:D220)</f>
        <v>3.54</v>
      </c>
      <c r="E221" s="307">
        <f t="shared" si="30"/>
        <v>3.54</v>
      </c>
      <c r="F221" s="307">
        <f t="shared" si="30"/>
        <v>3.54</v>
      </c>
      <c r="G221" s="307">
        <f t="shared" si="30"/>
        <v>3.54</v>
      </c>
      <c r="H221" s="307">
        <f t="shared" si="30"/>
        <v>3.54</v>
      </c>
      <c r="I221" s="307">
        <f t="shared" si="30"/>
        <v>3.54</v>
      </c>
      <c r="J221" s="307">
        <f t="shared" si="30"/>
        <v>3.54</v>
      </c>
      <c r="K221" s="307">
        <f t="shared" si="30"/>
        <v>3.54</v>
      </c>
      <c r="L221" s="307">
        <f t="shared" si="30"/>
        <v>3.54</v>
      </c>
      <c r="M221" s="307">
        <f>SUM(M215:M220)</f>
        <v>3.54</v>
      </c>
      <c r="N221" s="307">
        <f t="shared" ref="N221:S221" si="31">SUM(N215:N220)</f>
        <v>3.54</v>
      </c>
      <c r="O221" s="307">
        <f t="shared" si="31"/>
        <v>3.54</v>
      </c>
      <c r="P221" s="307">
        <f t="shared" si="31"/>
        <v>3.54</v>
      </c>
      <c r="Q221" s="307">
        <f t="shared" si="31"/>
        <v>0</v>
      </c>
      <c r="R221" s="307">
        <f t="shared" si="31"/>
        <v>0</v>
      </c>
      <c r="S221" s="307">
        <f t="shared" si="31"/>
        <v>0</v>
      </c>
      <c r="T221" s="307">
        <f>SUM(T215:T220)</f>
        <v>0</v>
      </c>
      <c r="U221" s="307">
        <f t="shared" ref="U221:AG221" si="32">SUM(U215:U220)</f>
        <v>0</v>
      </c>
      <c r="V221" s="307">
        <f t="shared" si="32"/>
        <v>0</v>
      </c>
      <c r="W221" s="307">
        <f t="shared" si="32"/>
        <v>0</v>
      </c>
      <c r="X221" s="307">
        <f t="shared" si="32"/>
        <v>0</v>
      </c>
      <c r="Y221" s="307">
        <f t="shared" si="32"/>
        <v>0</v>
      </c>
      <c r="Z221" s="307">
        <f t="shared" si="32"/>
        <v>0</v>
      </c>
      <c r="AA221" s="307">
        <f t="shared" si="32"/>
        <v>0</v>
      </c>
      <c r="AB221" s="307">
        <f t="shared" si="32"/>
        <v>0</v>
      </c>
      <c r="AC221" s="307">
        <f t="shared" si="32"/>
        <v>0</v>
      </c>
      <c r="AD221" s="307">
        <f t="shared" si="32"/>
        <v>0</v>
      </c>
      <c r="AE221" s="307">
        <f t="shared" si="32"/>
        <v>0</v>
      </c>
      <c r="AF221" s="307">
        <f t="shared" si="32"/>
        <v>0</v>
      </c>
      <c r="AG221" s="317">
        <f t="shared" si="32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1711.64</v>
      </c>
      <c r="C230" s="333">
        <f>INDEX(G9:N9,1,MATCH(MAX(G79:N79),G79:N79,0))</f>
        <v>0.20833333333333301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14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2079/02/14)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2079/02/14)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3">B79</f>
        <v>1792.4399999999998</v>
      </c>
      <c r="U235" s="343">
        <f t="shared" si="33"/>
        <v>1775.9399999999998</v>
      </c>
      <c r="V235" s="343">
        <f t="shared" si="33"/>
        <v>1738.24</v>
      </c>
      <c r="W235" s="343">
        <f t="shared" si="33"/>
        <v>1738.24</v>
      </c>
      <c r="X235" s="343">
        <f t="shared" si="33"/>
        <v>1716.14</v>
      </c>
      <c r="Y235" s="343">
        <f t="shared" si="33"/>
        <v>1711.64</v>
      </c>
      <c r="Z235" s="343">
        <f t="shared" si="33"/>
        <v>1711.64</v>
      </c>
      <c r="AA235" s="343">
        <f t="shared" si="33"/>
        <v>1711.64</v>
      </c>
      <c r="AB235" s="343">
        <f t="shared" si="33"/>
        <v>1695.64</v>
      </c>
      <c r="AC235" s="343">
        <f t="shared" si="33"/>
        <v>1694.64</v>
      </c>
      <c r="AD235" s="343">
        <f t="shared" si="33"/>
        <v>1694.64</v>
      </c>
      <c r="AE235" s="343">
        <f t="shared" si="33"/>
        <v>1695.64</v>
      </c>
      <c r="AF235" s="343">
        <f t="shared" si="33"/>
        <v>1695.64</v>
      </c>
      <c r="AG235" s="343">
        <f t="shared" si="33"/>
        <v>1702.14</v>
      </c>
      <c r="AH235" s="343">
        <f t="shared" si="33"/>
        <v>1702.14</v>
      </c>
      <c r="AI235" s="343">
        <f t="shared" si="33"/>
        <v>1702.14</v>
      </c>
      <c r="AJ235" s="343">
        <f t="shared" si="33"/>
        <v>1702.14</v>
      </c>
      <c r="AK235" s="343">
        <f t="shared" si="33"/>
        <v>1741.24</v>
      </c>
      <c r="AL235" s="343">
        <f t="shared" si="33"/>
        <v>1745.54</v>
      </c>
      <c r="AM235" s="343">
        <f t="shared" si="33"/>
        <v>1689.24</v>
      </c>
      <c r="AN235" s="343">
        <f t="shared" si="33"/>
        <v>1694.54</v>
      </c>
      <c r="AO235" s="343">
        <f t="shared" si="33"/>
        <v>1694.54</v>
      </c>
      <c r="AP235" s="343">
        <f t="shared" si="33"/>
        <v>1694.54</v>
      </c>
      <c r="AQ235" s="343">
        <f t="shared" si="33"/>
        <v>1772.54</v>
      </c>
      <c r="AR235" s="343">
        <f t="shared" si="33"/>
        <v>1832.44</v>
      </c>
      <c r="AS235" s="343">
        <f t="shared" si="33"/>
        <v>1853.84</v>
      </c>
      <c r="AT235" s="343">
        <f t="shared" si="33"/>
        <v>1783.24</v>
      </c>
      <c r="AU235" s="343">
        <f t="shared" si="33"/>
        <v>1768.74</v>
      </c>
      <c r="AV235" s="343">
        <f t="shared" si="33"/>
        <v>1752.2399999999998</v>
      </c>
      <c r="AW235" s="343">
        <f t="shared" si="33"/>
        <v>1758.34</v>
      </c>
      <c r="AX235" s="343">
        <f t="shared" si="33"/>
        <v>1773.7399999999998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4">C220</f>
        <v>0.64</v>
      </c>
      <c r="C256" s="346">
        <f t="shared" si="34"/>
        <v>0.64</v>
      </c>
      <c r="D256" s="346">
        <f t="shared" si="34"/>
        <v>0.64</v>
      </c>
      <c r="E256" s="346">
        <f t="shared" si="34"/>
        <v>0.64</v>
      </c>
      <c r="F256" s="346">
        <f t="shared" si="34"/>
        <v>0.64</v>
      </c>
      <c r="G256" s="346">
        <f t="shared" si="34"/>
        <v>0.64</v>
      </c>
      <c r="H256" s="346">
        <f t="shared" si="34"/>
        <v>0.64</v>
      </c>
      <c r="I256" s="346">
        <f t="shared" si="34"/>
        <v>0.64</v>
      </c>
      <c r="J256" s="346">
        <f t="shared" si="34"/>
        <v>0.64</v>
      </c>
      <c r="K256" s="346">
        <f t="shared" si="34"/>
        <v>0.64</v>
      </c>
      <c r="L256" s="346">
        <f t="shared" si="34"/>
        <v>0.64</v>
      </c>
      <c r="M256" s="346">
        <f t="shared" si="34"/>
        <v>0.64</v>
      </c>
      <c r="N256" s="346">
        <f t="shared" si="34"/>
        <v>0.64</v>
      </c>
      <c r="O256" s="346">
        <f t="shared" si="34"/>
        <v>0.64</v>
      </c>
      <c r="P256" s="346">
        <f t="shared" si="34"/>
        <v>0</v>
      </c>
      <c r="Q256" s="346">
        <f t="shared" si="34"/>
        <v>0</v>
      </c>
      <c r="R256" s="346">
        <f t="shared" si="34"/>
        <v>0</v>
      </c>
      <c r="S256" s="346">
        <f t="shared" si="34"/>
        <v>0</v>
      </c>
      <c r="T256" s="346">
        <f t="shared" si="34"/>
        <v>0</v>
      </c>
      <c r="U256" s="346">
        <f t="shared" si="34"/>
        <v>0</v>
      </c>
      <c r="V256" s="346">
        <f t="shared" si="34"/>
        <v>0</v>
      </c>
      <c r="W256" s="346">
        <f t="shared" si="34"/>
        <v>0</v>
      </c>
      <c r="X256" s="346">
        <f t="shared" si="34"/>
        <v>0</v>
      </c>
      <c r="Y256" s="346">
        <f t="shared" si="34"/>
        <v>0</v>
      </c>
      <c r="Z256" s="346">
        <f t="shared" si="34"/>
        <v>0</v>
      </c>
      <c r="AA256" s="346">
        <f t="shared" si="34"/>
        <v>0</v>
      </c>
      <c r="AB256" s="346">
        <f t="shared" si="34"/>
        <v>0</v>
      </c>
      <c r="AC256" s="346">
        <f t="shared" si="34"/>
        <v>0</v>
      </c>
      <c r="AD256" s="346">
        <f t="shared" si="34"/>
        <v>0</v>
      </c>
      <c r="AE256" s="346">
        <f t="shared" si="34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5">IF(C224&lt;100,"",C224-520)</f>
        <v/>
      </c>
      <c r="D257" s="347" t="str">
        <f t="shared" si="35"/>
        <v/>
      </c>
      <c r="E257" s="347" t="str">
        <f t="shared" si="35"/>
        <v/>
      </c>
      <c r="F257" s="347" t="str">
        <f t="shared" si="35"/>
        <v/>
      </c>
      <c r="G257" s="347" t="str">
        <f t="shared" si="35"/>
        <v/>
      </c>
      <c r="H257" s="347" t="str">
        <f t="shared" si="35"/>
        <v/>
      </c>
      <c r="I257" s="347" t="str">
        <f t="shared" si="35"/>
        <v/>
      </c>
      <c r="J257" s="347" t="str">
        <f t="shared" si="35"/>
        <v/>
      </c>
      <c r="K257" s="347" t="str">
        <f t="shared" si="35"/>
        <v/>
      </c>
      <c r="L257" s="347" t="str">
        <f t="shared" si="35"/>
        <v/>
      </c>
      <c r="M257" s="347" t="str">
        <f t="shared" si="35"/>
        <v/>
      </c>
      <c r="N257" s="347" t="str">
        <f t="shared" si="35"/>
        <v/>
      </c>
      <c r="O257" s="347" t="str">
        <f t="shared" si="35"/>
        <v/>
      </c>
      <c r="P257" s="347" t="str">
        <f t="shared" si="35"/>
        <v/>
      </c>
      <c r="Q257" s="347" t="str">
        <f t="shared" si="35"/>
        <v/>
      </c>
      <c r="R257" s="347" t="str">
        <f t="shared" si="35"/>
        <v/>
      </c>
      <c r="S257" s="347" t="str">
        <f t="shared" si="35"/>
        <v/>
      </c>
      <c r="T257" s="347" t="str">
        <f t="shared" si="35"/>
        <v/>
      </c>
      <c r="U257" s="347" t="str">
        <f t="shared" si="35"/>
        <v/>
      </c>
      <c r="V257" s="347" t="str">
        <f t="shared" si="35"/>
        <v/>
      </c>
      <c r="W257" s="347" t="str">
        <f t="shared" si="35"/>
        <v/>
      </c>
      <c r="X257" s="347" t="str">
        <f t="shared" si="35"/>
        <v/>
      </c>
      <c r="Y257" s="347" t="str">
        <f t="shared" si="35"/>
        <v/>
      </c>
      <c r="Z257" s="347" t="str">
        <f t="shared" si="35"/>
        <v/>
      </c>
      <c r="AA257" s="347" t="str">
        <f t="shared" si="35"/>
        <v/>
      </c>
      <c r="AB257" s="347" t="str">
        <f t="shared" si="35"/>
        <v/>
      </c>
      <c r="AC257" s="347" t="str">
        <f t="shared" si="35"/>
        <v/>
      </c>
      <c r="AD257" s="347" t="str">
        <f t="shared" si="35"/>
        <v/>
      </c>
      <c r="AE257" s="347" t="str">
        <f t="shared" si="35"/>
        <v/>
      </c>
      <c r="AF257" s="347" t="str">
        <f t="shared" si="35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6">IF(B225&lt;100,"",B225-620)</f>
        <v/>
      </c>
      <c r="C258" s="347" t="str">
        <f t="shared" si="36"/>
        <v/>
      </c>
      <c r="D258" s="347" t="str">
        <f t="shared" si="36"/>
        <v/>
      </c>
      <c r="E258" s="347" t="str">
        <f t="shared" si="36"/>
        <v/>
      </c>
      <c r="F258" s="347" t="str">
        <f t="shared" si="36"/>
        <v/>
      </c>
      <c r="G258" s="347" t="str">
        <f t="shared" si="36"/>
        <v/>
      </c>
      <c r="H258" s="347" t="str">
        <f t="shared" si="36"/>
        <v/>
      </c>
      <c r="I258" s="347" t="str">
        <f t="shared" si="36"/>
        <v/>
      </c>
      <c r="J258" s="347" t="str">
        <f t="shared" si="36"/>
        <v/>
      </c>
      <c r="K258" s="347" t="str">
        <f t="shared" si="36"/>
        <v/>
      </c>
      <c r="L258" s="347" t="str">
        <f t="shared" si="36"/>
        <v/>
      </c>
      <c r="M258" s="347" t="str">
        <f t="shared" si="36"/>
        <v/>
      </c>
      <c r="N258" s="347" t="str">
        <f t="shared" si="36"/>
        <v/>
      </c>
      <c r="O258" s="347" t="str">
        <f t="shared" si="36"/>
        <v/>
      </c>
      <c r="P258" s="347" t="str">
        <f t="shared" si="36"/>
        <v/>
      </c>
      <c r="Q258" s="347" t="str">
        <f t="shared" si="36"/>
        <v/>
      </c>
      <c r="R258" s="347" t="str">
        <f t="shared" si="36"/>
        <v/>
      </c>
      <c r="S258" s="347" t="str">
        <f t="shared" si="36"/>
        <v/>
      </c>
      <c r="T258" s="347" t="str">
        <f t="shared" si="36"/>
        <v/>
      </c>
      <c r="U258" s="347" t="str">
        <f t="shared" si="36"/>
        <v/>
      </c>
      <c r="V258" s="347" t="str">
        <f t="shared" si="36"/>
        <v/>
      </c>
      <c r="W258" s="347" t="str">
        <f t="shared" si="36"/>
        <v/>
      </c>
      <c r="X258" s="347" t="str">
        <f t="shared" si="36"/>
        <v/>
      </c>
      <c r="Y258" s="347" t="str">
        <f t="shared" si="36"/>
        <v/>
      </c>
      <c r="Z258" s="347" t="str">
        <f t="shared" si="36"/>
        <v/>
      </c>
      <c r="AA258" s="347" t="str">
        <f t="shared" si="36"/>
        <v/>
      </c>
      <c r="AB258" s="347" t="str">
        <f t="shared" si="36"/>
        <v/>
      </c>
      <c r="AC258" s="347" t="str">
        <f t="shared" si="36"/>
        <v/>
      </c>
      <c r="AD258" s="347" t="str">
        <f t="shared" si="36"/>
        <v/>
      </c>
      <c r="AE258" s="347" t="str">
        <f t="shared" si="36"/>
        <v/>
      </c>
      <c r="AF258" s="347" t="str">
        <f t="shared" si="36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7">IF(B226&lt;100,"",B226-330)</f>
        <v/>
      </c>
      <c r="C259" s="347" t="str">
        <f t="shared" si="37"/>
        <v/>
      </c>
      <c r="D259" s="347" t="str">
        <f t="shared" si="37"/>
        <v/>
      </c>
      <c r="E259" s="347" t="str">
        <f t="shared" si="37"/>
        <v/>
      </c>
      <c r="F259" s="347" t="str">
        <f t="shared" si="37"/>
        <v/>
      </c>
      <c r="G259" s="347" t="str">
        <f t="shared" si="37"/>
        <v/>
      </c>
      <c r="H259" s="347" t="str">
        <f t="shared" si="37"/>
        <v/>
      </c>
      <c r="I259" s="347" t="str">
        <f t="shared" si="37"/>
        <v/>
      </c>
      <c r="J259" s="347" t="str">
        <f t="shared" si="37"/>
        <v/>
      </c>
      <c r="K259" s="347" t="str">
        <f t="shared" si="37"/>
        <v/>
      </c>
      <c r="L259" s="347" t="str">
        <f t="shared" si="37"/>
        <v/>
      </c>
      <c r="M259" s="347" t="str">
        <f t="shared" si="37"/>
        <v/>
      </c>
      <c r="N259" s="347" t="str">
        <f t="shared" si="37"/>
        <v/>
      </c>
      <c r="O259" s="347" t="str">
        <f t="shared" si="37"/>
        <v/>
      </c>
      <c r="P259" s="347" t="str">
        <f t="shared" si="37"/>
        <v/>
      </c>
      <c r="Q259" s="347" t="str">
        <f t="shared" si="37"/>
        <v/>
      </c>
      <c r="R259" s="347" t="str">
        <f t="shared" si="37"/>
        <v/>
      </c>
      <c r="S259" s="347" t="str">
        <f t="shared" si="37"/>
        <v/>
      </c>
      <c r="T259" s="347" t="str">
        <f t="shared" si="37"/>
        <v/>
      </c>
      <c r="U259" s="347" t="str">
        <f t="shared" si="37"/>
        <v/>
      </c>
      <c r="V259" s="347" t="str">
        <f t="shared" si="37"/>
        <v/>
      </c>
      <c r="W259" s="347" t="str">
        <f t="shared" si="37"/>
        <v/>
      </c>
      <c r="X259" s="347" t="str">
        <f t="shared" si="37"/>
        <v/>
      </c>
      <c r="Y259" s="347" t="str">
        <f t="shared" si="37"/>
        <v/>
      </c>
      <c r="Z259" s="347" t="str">
        <f t="shared" si="37"/>
        <v/>
      </c>
      <c r="AA259" s="347" t="str">
        <f t="shared" si="37"/>
        <v/>
      </c>
      <c r="AB259" s="347" t="str">
        <f t="shared" si="37"/>
        <v/>
      </c>
      <c r="AC259" s="347" t="str">
        <f t="shared" si="37"/>
        <v/>
      </c>
      <c r="AD259" s="347" t="str">
        <f t="shared" si="37"/>
        <v/>
      </c>
      <c r="AE259" s="347" t="str">
        <f t="shared" si="37"/>
        <v/>
      </c>
      <c r="AF259" s="347" t="str">
        <f t="shared" si="37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8">IF(C227&lt;100,"",C227-1500)</f>
        <v/>
      </c>
      <c r="D260" s="347" t="str">
        <f t="shared" si="38"/>
        <v/>
      </c>
      <c r="E260" s="347" t="str">
        <f t="shared" si="38"/>
        <v/>
      </c>
      <c r="F260" s="347" t="str">
        <f t="shared" si="38"/>
        <v/>
      </c>
      <c r="G260" s="347" t="str">
        <f t="shared" si="38"/>
        <v/>
      </c>
      <c r="H260" s="347" t="str">
        <f t="shared" si="38"/>
        <v/>
      </c>
      <c r="I260" s="347" t="str">
        <f t="shared" si="38"/>
        <v/>
      </c>
      <c r="J260" s="347" t="str">
        <f t="shared" si="38"/>
        <v/>
      </c>
      <c r="K260" s="347" t="str">
        <f t="shared" si="38"/>
        <v/>
      </c>
      <c r="L260" s="347" t="str">
        <f t="shared" si="38"/>
        <v/>
      </c>
      <c r="M260" s="347" t="str">
        <f t="shared" si="38"/>
        <v/>
      </c>
      <c r="N260" s="347" t="str">
        <f t="shared" si="38"/>
        <v/>
      </c>
      <c r="O260" s="347" t="str">
        <f t="shared" si="38"/>
        <v/>
      </c>
      <c r="P260" s="347" t="str">
        <f t="shared" si="38"/>
        <v/>
      </c>
      <c r="Q260" s="347" t="str">
        <f t="shared" si="38"/>
        <v/>
      </c>
      <c r="R260" s="347" t="str">
        <f t="shared" si="38"/>
        <v/>
      </c>
      <c r="S260" s="347" t="str">
        <f t="shared" si="38"/>
        <v/>
      </c>
      <c r="T260" s="347" t="str">
        <f t="shared" si="38"/>
        <v/>
      </c>
      <c r="U260" s="347" t="str">
        <f t="shared" si="38"/>
        <v/>
      </c>
      <c r="V260" s="347" t="str">
        <f t="shared" si="38"/>
        <v/>
      </c>
      <c r="W260" s="347" t="str">
        <f t="shared" si="38"/>
        <v/>
      </c>
      <c r="X260" s="347" t="str">
        <f t="shared" si="38"/>
        <v/>
      </c>
      <c r="Y260" s="347" t="str">
        <f t="shared" si="38"/>
        <v/>
      </c>
      <c r="Z260" s="347" t="str">
        <f t="shared" si="38"/>
        <v/>
      </c>
      <c r="AA260" s="347" t="str">
        <f t="shared" si="38"/>
        <v/>
      </c>
      <c r="AB260" s="347" t="str">
        <f t="shared" si="38"/>
        <v/>
      </c>
      <c r="AC260" s="347" t="str">
        <f t="shared" si="38"/>
        <v/>
      </c>
      <c r="AD260" s="347" t="str">
        <f t="shared" si="38"/>
        <v/>
      </c>
      <c r="AE260" s="347" t="str">
        <f t="shared" si="38"/>
        <v/>
      </c>
      <c r="AF260" s="347" t="str">
        <f t="shared" si="38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5047" priority="233">
      <formula>B$9&gt;=20/24</formula>
    </cfRule>
    <cfRule type="expression" dxfId="5046" priority="234">
      <formula>AND(B$9&gt;=14/24,B$9&lt;20/24)</formula>
    </cfRule>
    <cfRule type="expression" dxfId="5045" priority="235">
      <formula>AND(B$9&gt;=8/24,B$9&lt;14/24)</formula>
    </cfRule>
    <cfRule type="expression" dxfId="5044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X37:AF37">
    <cfRule type="expression" dxfId="5043" priority="228">
      <formula>X$9&gt;=20/24</formula>
    </cfRule>
    <cfRule type="expression" dxfId="5042" priority="229">
      <formula>AND(X$9&gt;=14/24,X$9&lt;20/24)</formula>
    </cfRule>
    <cfRule type="expression" dxfId="5041" priority="230">
      <formula>AND(X$9&gt;=8/24,X$9&lt;14/24)</formula>
    </cfRule>
    <cfRule type="expression" dxfId="5040" priority="231">
      <formula>X$9&lt;8/24</formula>
    </cfRule>
  </conditionalFormatting>
  <conditionalFormatting sqref="AG55 B12:L16 M11:Z11 M16:Z16 AA11:AF16 X37:AF37 B35:AF35">
    <cfRule type="expression" dxfId="5039" priority="227">
      <formula>B11&gt;$AG11</formula>
    </cfRule>
  </conditionalFormatting>
  <conditionalFormatting sqref="A89:A102 A11:A14 A49:A76 A85:A87 A191:A221 A16:A30 A36:A47 A107:A178 A32:A33 A81:A83 A78:A79">
    <cfRule type="expression" dxfId="5038" priority="226">
      <formula>$AH11=0</formula>
    </cfRule>
  </conditionalFormatting>
  <conditionalFormatting sqref="A103">
    <cfRule type="expression" dxfId="5037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036" priority="223">
      <formula>$AH35=0</formula>
    </cfRule>
  </conditionalFormatting>
  <conditionalFormatting sqref="A88">
    <cfRule type="expression" dxfId="5035" priority="222">
      <formula>$AH88=0</formula>
    </cfRule>
  </conditionalFormatting>
  <conditionalFormatting sqref="A15">
    <cfRule type="expression" dxfId="5034" priority="221">
      <formula>$AH15=0</formula>
    </cfRule>
  </conditionalFormatting>
  <conditionalFormatting sqref="A185:A190">
    <cfRule type="expression" dxfId="5033" priority="220">
      <formula>$AH185=0</formula>
    </cfRule>
  </conditionalFormatting>
  <conditionalFormatting sqref="A179:A184">
    <cfRule type="expression" dxfId="5032" priority="219">
      <formula>$AH179=0</formula>
    </cfRule>
  </conditionalFormatting>
  <conditionalFormatting sqref="A48">
    <cfRule type="expression" dxfId="5031" priority="218">
      <formula>$AH48=0</formula>
    </cfRule>
  </conditionalFormatting>
  <conditionalFormatting sqref="A84">
    <cfRule type="expression" dxfId="5030" priority="217">
      <formula>$AH84=0</formula>
    </cfRule>
  </conditionalFormatting>
  <conditionalFormatting sqref="C89:AF89">
    <cfRule type="expression" dxfId="5029" priority="213">
      <formula>C$9&gt;=20/24</formula>
    </cfRule>
    <cfRule type="expression" dxfId="5028" priority="214">
      <formula>AND(C$9&gt;=14/24,C$9&lt;20/24)</formula>
    </cfRule>
    <cfRule type="expression" dxfId="5027" priority="215">
      <formula>AND(C$9&gt;=8/24,C$9&lt;14/24)</formula>
    </cfRule>
    <cfRule type="expression" dxfId="5026" priority="216">
      <formula>C$9&lt;8/24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25" priority="239">
      <formula>C$9&gt;=20/24</formula>
    </cfRule>
    <cfRule type="expression" dxfId="5024" priority="240">
      <formula>AND(C$9&gt;=14/24,C$9&lt;20/24)</formula>
    </cfRule>
    <cfRule type="expression" dxfId="5023" priority="241">
      <formula>AND(C$9&gt;=8/24,C$9&lt;14/24)</formula>
    </cfRule>
    <cfRule type="expression" dxfId="5022" priority="242">
      <formula>C$9&lt;8/24</formula>
    </cfRule>
  </conditionalFormatting>
  <conditionalFormatting sqref="A222">
    <cfRule type="expression" dxfId="5021" priority="243">
      <formula>$AH222=0</formula>
    </cfRule>
  </conditionalFormatting>
  <conditionalFormatting sqref="AG234">
    <cfRule type="expression" dxfId="5020" priority="244">
      <formula>B$9&gt;=20/24</formula>
    </cfRule>
    <cfRule type="expression" dxfId="5019" priority="245">
      <formula>AND(B$9&gt;=14/24,B$9&lt;20/24)</formula>
    </cfRule>
    <cfRule type="expression" dxfId="5018" priority="246">
      <formula>AND(B$9&gt;=8/24,B$9&lt;14/24)</formula>
    </cfRule>
    <cfRule type="expression" dxfId="5017" priority="247">
      <formula>B$9&lt;8/24</formula>
    </cfRule>
  </conditionalFormatting>
  <conditionalFormatting sqref="S8">
    <cfRule type="expression" dxfId="5016" priority="208">
      <formula>U$9&gt;=20/24</formula>
    </cfRule>
    <cfRule type="expression" dxfId="5015" priority="209">
      <formula>AND(U$9&gt;=14/24,U$9&lt;20/24)</formula>
    </cfRule>
    <cfRule type="expression" dxfId="5014" priority="210">
      <formula>AND(U$9&gt;=8/24,U$9&lt;14/24)</formula>
    </cfRule>
    <cfRule type="expression" dxfId="5013" priority="211">
      <formula>U$9&lt;8/24</formula>
    </cfRule>
  </conditionalFormatting>
  <conditionalFormatting sqref="AB8">
    <cfRule type="expression" dxfId="5012" priority="204">
      <formula>AD$9&gt;=20/24</formula>
    </cfRule>
    <cfRule type="expression" dxfId="5011" priority="205">
      <formula>AND(AD$9&gt;=14/24,AD$9&lt;20/24)</formula>
    </cfRule>
    <cfRule type="expression" dxfId="5010" priority="206">
      <formula>AND(AD$9&gt;=8/24,AD$9&lt;14/24)</formula>
    </cfRule>
    <cfRule type="expression" dxfId="5009" priority="207">
      <formula>AD$9&lt;8/24</formula>
    </cfRule>
  </conditionalFormatting>
  <conditionalFormatting sqref="AH234:AX234">
    <cfRule type="expression" dxfId="5008" priority="248">
      <formula>AG$9&gt;=20/24</formula>
    </cfRule>
    <cfRule type="expression" dxfId="5007" priority="249">
      <formula>AND(AG$9&gt;=14/24,AG$9&lt;20/24)</formula>
    </cfRule>
    <cfRule type="expression" dxfId="5006" priority="250">
      <formula>AND(AG$9&gt;=8/24,AG$9&lt;14/24)</formula>
    </cfRule>
    <cfRule type="expression" dxfId="5005" priority="251">
      <formula>AG$9&lt;8/24</formula>
    </cfRule>
  </conditionalFormatting>
  <conditionalFormatting sqref="T234">
    <cfRule type="expression" dxfId="5004" priority="252">
      <formula>AX$9&gt;=20/24</formula>
    </cfRule>
    <cfRule type="expression" dxfId="5003" priority="253">
      <formula>AND(AX$9&gt;=14/24,AX$9&lt;20/24)</formula>
    </cfRule>
    <cfRule type="expression" dxfId="5002" priority="254">
      <formula>AND(AX$9&gt;=8/24,AX$9&lt;14/24)</formula>
    </cfRule>
    <cfRule type="expression" dxfId="5001" priority="255">
      <formula>AX$9&lt;8/24</formula>
    </cfRule>
  </conditionalFormatting>
  <conditionalFormatting sqref="A104:A105">
    <cfRule type="expression" dxfId="5000" priority="203">
      <formula>$AH104=0</formula>
    </cfRule>
  </conditionalFormatting>
  <conditionalFormatting sqref="F61:AF61 AA44:AF45 AA36:AF36">
    <cfRule type="expression" dxfId="4999" priority="199">
      <formula>F$9&gt;=20/24</formula>
    </cfRule>
    <cfRule type="expression" dxfId="4998" priority="200">
      <formula>AND(F$9&gt;=14/24,F$9&lt;20/24)</formula>
    </cfRule>
    <cfRule type="expression" dxfId="4997" priority="201">
      <formula>AND(F$9&gt;=8/24,F$9&lt;14/24)</formula>
    </cfRule>
    <cfRule type="expression" dxfId="4996" priority="202">
      <formula>F$9&lt;8/24</formula>
    </cfRule>
  </conditionalFormatting>
  <conditionalFormatting sqref="F43:L43 AA43:AF43">
    <cfRule type="expression" dxfId="4995" priority="195">
      <formula>F$9&gt;=20/24</formula>
    </cfRule>
    <cfRule type="expression" dxfId="4994" priority="196">
      <formula>AND(F$9&gt;=14/24,F$9&lt;20/24)</formula>
    </cfRule>
    <cfRule type="expression" dxfId="4993" priority="197">
      <formula>AND(F$9&gt;=8/24,F$9&lt;14/24)</formula>
    </cfRule>
    <cfRule type="expression" dxfId="4992" priority="198">
      <formula>F$9&lt;8/24</formula>
    </cfRule>
  </conditionalFormatting>
  <conditionalFormatting sqref="F43:L43 AA43:AF45 AA36:AF36">
    <cfRule type="expression" dxfId="4991" priority="194">
      <formula>F36&gt;$AG36</formula>
    </cfRule>
  </conditionalFormatting>
  <conditionalFormatting sqref="C86:AF86 F62:M63 M64:M71 F71:L71 F64:L67 M36:W37 M11:Z14 X36:Z36 G57:AF59 N62:AF71 C73:AF76 AA12:AF14 M16:AF16 M28:AF30 M24:AF26 M32:AF32 M18:AF22 C90:AF96">
    <cfRule type="expression" dxfId="4990" priority="190">
      <formula>C$9&gt;=20/24</formula>
    </cfRule>
    <cfRule type="expression" dxfId="4989" priority="191">
      <formula>AND(C$9&gt;=14/24,C$9&lt;20/24)</formula>
    </cfRule>
    <cfRule type="expression" dxfId="4988" priority="192">
      <formula>AND(C$9&gt;=8/24,C$9&lt;14/24)</formula>
    </cfRule>
    <cfRule type="expression" dxfId="4987" priority="193">
      <formula>C$9&lt;8/24</formula>
    </cfRule>
  </conditionalFormatting>
  <conditionalFormatting sqref="M33:AF33">
    <cfRule type="expression" dxfId="4986" priority="186">
      <formula>M$9&gt;=20/24</formula>
    </cfRule>
    <cfRule type="expression" dxfId="4985" priority="187">
      <formula>AND(M$9&gt;=14/24,M$9&lt;20/24)</formula>
    </cfRule>
    <cfRule type="expression" dxfId="4984" priority="188">
      <formula>AND(M$9&gt;=8/24,M$9&lt;14/24)</formula>
    </cfRule>
    <cfRule type="expression" dxfId="4983" priority="189">
      <formula>M$9&lt;8/24</formula>
    </cfRule>
  </conditionalFormatting>
  <conditionalFormatting sqref="AF46 C55:AF55 M36:W37 M11:Z15 X36:Z36 G57:AF59 M24:AF30 M32:AF33 M18:AF22">
    <cfRule type="expression" dxfId="4982" priority="185">
      <formula>C11&gt;$AG11</formula>
    </cfRule>
  </conditionalFormatting>
  <conditionalFormatting sqref="M35:AF35">
    <cfRule type="expression" dxfId="4981" priority="181">
      <formula>M$9&gt;=20/24</formula>
    </cfRule>
    <cfRule type="expression" dxfId="4980" priority="182">
      <formula>AND(M$9&gt;=14/24,M$9&lt;20/24)</formula>
    </cfRule>
    <cfRule type="expression" dxfId="4979" priority="183">
      <formula>AND(M$9&gt;=8/24,M$9&lt;14/24)</formula>
    </cfRule>
    <cfRule type="expression" dxfId="4978" priority="184">
      <formula>M$9&lt;8/24</formula>
    </cfRule>
  </conditionalFormatting>
  <conditionalFormatting sqref="M15:AF15">
    <cfRule type="expression" dxfId="4977" priority="177">
      <formula>M$9&gt;=20/24</formula>
    </cfRule>
    <cfRule type="expression" dxfId="4976" priority="178">
      <formula>AND(M$9&gt;=14/24,M$9&lt;20/24)</formula>
    </cfRule>
    <cfRule type="expression" dxfId="4975" priority="179">
      <formula>AND(M$9&gt;=8/24,M$9&lt;14/24)</formula>
    </cfRule>
    <cfRule type="expression" dxfId="4974" priority="180">
      <formula>M$9&lt;8/24</formula>
    </cfRule>
  </conditionalFormatting>
  <conditionalFormatting sqref="M34:AF34">
    <cfRule type="expression" dxfId="4973" priority="173">
      <formula>M$9&gt;=20/24</formula>
    </cfRule>
    <cfRule type="expression" dxfId="4972" priority="174">
      <formula>AND(M$9&gt;=14/24,M$9&lt;20/24)</formula>
    </cfRule>
    <cfRule type="expression" dxfId="4971" priority="175">
      <formula>AND(M$9&gt;=8/24,M$9&lt;14/24)</formula>
    </cfRule>
    <cfRule type="expression" dxfId="4970" priority="176">
      <formula>M$9&lt;8/24</formula>
    </cfRule>
  </conditionalFormatting>
  <conditionalFormatting sqref="M34:AF34">
    <cfRule type="expression" dxfId="4969" priority="172">
      <formula>M34&gt;$AG34</formula>
    </cfRule>
  </conditionalFormatting>
  <conditionalFormatting sqref="AA46:AE47 AF47">
    <cfRule type="expression" dxfId="4968" priority="164">
      <formula>AA$9&gt;=20/24</formula>
    </cfRule>
    <cfRule type="expression" dxfId="4967" priority="165">
      <formula>AND(AA$9&gt;=14/24,AA$9&lt;20/24)</formula>
    </cfRule>
    <cfRule type="expression" dxfId="4966" priority="166">
      <formula>AND(AA$9&gt;=8/24,AA$9&lt;14/24)</formula>
    </cfRule>
    <cfRule type="expression" dxfId="4965" priority="167">
      <formula>AA$9&lt;8/24</formula>
    </cfRule>
  </conditionalFormatting>
  <conditionalFormatting sqref="AA46:AE47 AF47">
    <cfRule type="expression" dxfId="4964" priority="163">
      <formula>AA46&gt;$AG46</formula>
    </cfRule>
  </conditionalFormatting>
  <conditionalFormatting sqref="M43:Z54 AA48:AF54">
    <cfRule type="expression" dxfId="4963" priority="159">
      <formula>M$9&gt;=20/24</formula>
    </cfRule>
    <cfRule type="expression" dxfId="4962" priority="160">
      <formula>AND(M$9&gt;=14/24,M$9&lt;20/24)</formula>
    </cfRule>
    <cfRule type="expression" dxfId="4961" priority="161">
      <formula>AND(M$9&gt;=8/24,M$9&lt;14/24)</formula>
    </cfRule>
    <cfRule type="expression" dxfId="4960" priority="162">
      <formula>M$9&lt;8/24</formula>
    </cfRule>
  </conditionalFormatting>
  <conditionalFormatting sqref="M43:Z54 AA48:AF54">
    <cfRule type="expression" dxfId="4959" priority="158">
      <formula>M43&gt;$AG43</formula>
    </cfRule>
  </conditionalFormatting>
  <conditionalFormatting sqref="M27:AF27">
    <cfRule type="expression" dxfId="4958" priority="154">
      <formula>M$9&gt;=20/24</formula>
    </cfRule>
    <cfRule type="expression" dxfId="4957" priority="155">
      <formula>AND(M$9&gt;=14/24,M$9&lt;20/24)</formula>
    </cfRule>
    <cfRule type="expression" dxfId="4956" priority="156">
      <formula>AND(M$9&gt;=8/24,M$9&lt;14/24)</formula>
    </cfRule>
    <cfRule type="expression" dxfId="4955" priority="157">
      <formula>M$9&lt;8/24</formula>
    </cfRule>
  </conditionalFormatting>
  <conditionalFormatting sqref="M17:AF17 M23:AF23">
    <cfRule type="expression" dxfId="4954" priority="150">
      <formula>M$9&gt;=20/24</formula>
    </cfRule>
    <cfRule type="expression" dxfId="4953" priority="151">
      <formula>AND(M$9&gt;=14/24,M$9&lt;20/24)</formula>
    </cfRule>
    <cfRule type="expression" dxfId="4952" priority="152">
      <formula>AND(M$9&gt;=8/24,M$9&lt;14/24)</formula>
    </cfRule>
    <cfRule type="expression" dxfId="4951" priority="153">
      <formula>M$9&lt;8/24</formula>
    </cfRule>
  </conditionalFormatting>
  <conditionalFormatting sqref="M17:AF17 M23:AF23">
    <cfRule type="expression" dxfId="4950" priority="145">
      <formula>M17&gt;$AG17</formula>
    </cfRule>
  </conditionalFormatting>
  <conditionalFormatting sqref="F68:L70">
    <cfRule type="expression" dxfId="4949" priority="119">
      <formula>F$9&gt;=20/24</formula>
    </cfRule>
    <cfRule type="expression" dxfId="4948" priority="120">
      <formula>AND(F$9&gt;=14/24,F$9&lt;20/24)</formula>
    </cfRule>
    <cfRule type="expression" dxfId="4947" priority="121">
      <formula>AND(F$9&gt;=8/24,F$9&lt;14/24)</formula>
    </cfRule>
    <cfRule type="expression" dxfId="4946" priority="122">
      <formula>F$9&lt;8/24</formula>
    </cfRule>
  </conditionalFormatting>
  <conditionalFormatting sqref="B99:B105 B78:AF78 B87:AF87 B11:L11">
    <cfRule type="expression" dxfId="4945" priority="100">
      <formula>B$9&gt;=20/24</formula>
    </cfRule>
    <cfRule type="expression" dxfId="4944" priority="101">
      <formula>AND(B$9&gt;=14/24,B$9&lt;20/24)</formula>
    </cfRule>
    <cfRule type="expression" dxfId="4943" priority="102">
      <formula>AND(B$9&gt;=8/24,B$9&lt;14/24)</formula>
    </cfRule>
    <cfRule type="expression" dxfId="4942" priority="103">
      <formula>B$9&lt;8/24</formula>
    </cfRule>
  </conditionalFormatting>
  <conditionalFormatting sqref="B37:L37">
    <cfRule type="expression" dxfId="4941" priority="96">
      <formula>B$9&gt;=20/24</formula>
    </cfRule>
    <cfRule type="expression" dxfId="4940" priority="97">
      <formula>AND(B$9&gt;=14/24,B$9&lt;20/24)</formula>
    </cfRule>
    <cfRule type="expression" dxfId="4939" priority="98">
      <formula>AND(B$9&gt;=8/24,B$9&lt;14/24)</formula>
    </cfRule>
    <cfRule type="expression" dxfId="4938" priority="99">
      <formula>B$9&lt;8/24</formula>
    </cfRule>
  </conditionalFormatting>
  <conditionalFormatting sqref="B37:L37 B11:L11">
    <cfRule type="expression" dxfId="4937" priority="95">
      <formula>B11&gt;$AG11</formula>
    </cfRule>
  </conditionalFormatting>
  <conditionalFormatting sqref="B89">
    <cfRule type="expression" dxfId="4936" priority="91">
      <formula>B$9&gt;=20/24</formula>
    </cfRule>
    <cfRule type="expression" dxfId="4935" priority="92">
      <formula>AND(B$9&gt;=14/24,B$9&lt;20/24)</formula>
    </cfRule>
    <cfRule type="expression" dxfId="4934" priority="93">
      <formula>AND(B$9&gt;=8/24,B$9&lt;14/24)</formula>
    </cfRule>
    <cfRule type="expression" dxfId="4933" priority="94">
      <formula>B$9&lt;8/24</formula>
    </cfRule>
  </conditionalFormatting>
  <conditionalFormatting sqref="B61:E61 B36:L36 B44:L45">
    <cfRule type="expression" dxfId="4932" priority="87">
      <formula>B$9&gt;=20/24</formula>
    </cfRule>
    <cfRule type="expression" dxfId="4931" priority="88">
      <formula>AND(B$9&gt;=14/24,B$9&lt;20/24)</formula>
    </cfRule>
    <cfRule type="expression" dxfId="4930" priority="89">
      <formula>AND(B$9&gt;=8/24,B$9&lt;14/24)</formula>
    </cfRule>
    <cfRule type="expression" dxfId="4929" priority="90">
      <formula>B$9&lt;8/24</formula>
    </cfRule>
  </conditionalFormatting>
  <conditionalFormatting sqref="B43:E43">
    <cfRule type="expression" dxfId="4928" priority="83">
      <formula>B$9&gt;=20/24</formula>
    </cfRule>
    <cfRule type="expression" dxfId="4927" priority="84">
      <formula>AND(B$9&gt;=14/24,B$9&lt;20/24)</formula>
    </cfRule>
    <cfRule type="expression" dxfId="4926" priority="85">
      <formula>AND(B$9&gt;=8/24,B$9&lt;14/24)</formula>
    </cfRule>
    <cfRule type="expression" dxfId="4925" priority="86">
      <formula>B$9&lt;8/24</formula>
    </cfRule>
  </conditionalFormatting>
  <conditionalFormatting sqref="B43:E45 B36:L36 F44:L45">
    <cfRule type="expression" dxfId="4924" priority="82">
      <formula>B36&gt;$AG36</formula>
    </cfRule>
  </conditionalFormatting>
  <conditionalFormatting sqref="B90:B96 B57:B60 B73:B77 B79:AF79 B86 C60:AG60 C77:AG77 B88:AF88 B62:E71 C57:F59 B12:L14 B16:L16 B28:L30 B24:L26 B32:L32 B18:L22">
    <cfRule type="expression" dxfId="4923" priority="78">
      <formula>B$9&gt;=20/24</formula>
    </cfRule>
    <cfRule type="expression" dxfId="4922" priority="79">
      <formula>AND(B$9&gt;=14/24,B$9&lt;20/24)</formula>
    </cfRule>
    <cfRule type="expression" dxfId="4921" priority="80">
      <formula>AND(B$9&gt;=8/24,B$9&lt;14/24)</formula>
    </cfRule>
    <cfRule type="expression" dxfId="4920" priority="81">
      <formula>B$9&lt;8/24</formula>
    </cfRule>
  </conditionalFormatting>
  <conditionalFormatting sqref="B33:L33">
    <cfRule type="expression" dxfId="4919" priority="74">
      <formula>B$9&gt;=20/24</formula>
    </cfRule>
    <cfRule type="expression" dxfId="4918" priority="75">
      <formula>AND(B$9&gt;=14/24,B$9&lt;20/24)</formula>
    </cfRule>
    <cfRule type="expression" dxfId="4917" priority="76">
      <formula>AND(B$9&gt;=8/24,B$9&lt;14/24)</formula>
    </cfRule>
    <cfRule type="expression" dxfId="4916" priority="77">
      <formula>B$9&lt;8/24</formula>
    </cfRule>
  </conditionalFormatting>
  <conditionalFormatting sqref="B55:B60 C56:AG56 C60:AG60 C57:F59 B24:L30 B32:L33 B46:L47 B18:L22 B38:AG38">
    <cfRule type="expression" dxfId="4915" priority="73">
      <formula>B18&gt;$AG18</formula>
    </cfRule>
  </conditionalFormatting>
  <conditionalFormatting sqref="B35:L35">
    <cfRule type="expression" dxfId="4914" priority="69">
      <formula>B$9&gt;=20/24</formula>
    </cfRule>
    <cfRule type="expression" dxfId="4913" priority="70">
      <formula>AND(B$9&gt;=14/24,B$9&lt;20/24)</formula>
    </cfRule>
    <cfRule type="expression" dxfId="4912" priority="71">
      <formula>AND(B$9&gt;=8/24,B$9&lt;14/24)</formula>
    </cfRule>
    <cfRule type="expression" dxfId="4911" priority="72">
      <formula>B$9&lt;8/24</formula>
    </cfRule>
  </conditionalFormatting>
  <conditionalFormatting sqref="B15:L15">
    <cfRule type="expression" dxfId="4910" priority="65">
      <formula>B$9&gt;=20/24</formula>
    </cfRule>
    <cfRule type="expression" dxfId="4909" priority="66">
      <formula>AND(B$9&gt;=14/24,B$9&lt;20/24)</formula>
    </cfRule>
    <cfRule type="expression" dxfId="4908" priority="67">
      <formula>AND(B$9&gt;=8/24,B$9&lt;14/24)</formula>
    </cfRule>
    <cfRule type="expression" dxfId="4907" priority="68">
      <formula>B$9&lt;8/24</formula>
    </cfRule>
  </conditionalFormatting>
  <conditionalFormatting sqref="B34:L34">
    <cfRule type="expression" dxfId="4906" priority="61">
      <formula>B$9&gt;=20/24</formula>
    </cfRule>
    <cfRule type="expression" dxfId="4905" priority="62">
      <formula>AND(B$9&gt;=14/24,B$9&lt;20/24)</formula>
    </cfRule>
    <cfRule type="expression" dxfId="4904" priority="63">
      <formula>AND(B$9&gt;=8/24,B$9&lt;14/24)</formula>
    </cfRule>
    <cfRule type="expression" dxfId="4903" priority="64">
      <formula>B$9&lt;8/24</formula>
    </cfRule>
  </conditionalFormatting>
  <conditionalFormatting sqref="B34:L34">
    <cfRule type="expression" dxfId="4902" priority="60">
      <formula>B34&gt;$AG34</formula>
    </cfRule>
  </conditionalFormatting>
  <conditionalFormatting sqref="B48:L54">
    <cfRule type="expression" dxfId="4901" priority="56">
      <formula>B$9&gt;=20/24</formula>
    </cfRule>
    <cfRule type="expression" dxfId="4900" priority="57">
      <formula>AND(B$9&gt;=14/24,B$9&lt;20/24)</formula>
    </cfRule>
    <cfRule type="expression" dxfId="4899" priority="58">
      <formula>AND(B$9&gt;=8/24,B$9&lt;14/24)</formula>
    </cfRule>
    <cfRule type="expression" dxfId="4898" priority="59">
      <formula>B$9&lt;8/24</formula>
    </cfRule>
  </conditionalFormatting>
  <conditionalFormatting sqref="B48:L54">
    <cfRule type="expression" dxfId="4897" priority="55">
      <formula>B48&gt;$AG48</formula>
    </cfRule>
  </conditionalFormatting>
  <conditionalFormatting sqref="B27:L27">
    <cfRule type="expression" dxfId="4896" priority="51">
      <formula>B$9&gt;=20/24</formula>
    </cfRule>
    <cfRule type="expression" dxfId="4895" priority="52">
      <formula>AND(B$9&gt;=14/24,B$9&lt;20/24)</formula>
    </cfRule>
    <cfRule type="expression" dxfId="4894" priority="53">
      <formula>AND(B$9&gt;=8/24,B$9&lt;14/24)</formula>
    </cfRule>
    <cfRule type="expression" dxfId="4893" priority="54">
      <formula>B$9&lt;8/24</formula>
    </cfRule>
  </conditionalFormatting>
  <conditionalFormatting sqref="B17:L17 B23:L23">
    <cfRule type="expression" dxfId="4892" priority="47">
      <formula>B$9&gt;=20/24</formula>
    </cfRule>
    <cfRule type="expression" dxfId="4891" priority="48">
      <formula>AND(B$9&gt;=14/24,B$9&lt;20/24)</formula>
    </cfRule>
    <cfRule type="expression" dxfId="4890" priority="49">
      <formula>AND(B$9&gt;=8/24,B$9&lt;14/24)</formula>
    </cfRule>
    <cfRule type="expression" dxfId="4889" priority="50">
      <formula>B$9&lt;8/24</formula>
    </cfRule>
  </conditionalFormatting>
  <conditionalFormatting sqref="B17:L17 B23:L23">
    <cfRule type="expression" dxfId="4888" priority="46">
      <formula>B17&gt;$AG17</formula>
    </cfRule>
  </conditionalFormatting>
  <conditionalFormatting sqref="A34">
    <cfRule type="expression" dxfId="4887" priority="45">
      <formula>$AH34=0</formula>
    </cfRule>
  </conditionalFormatting>
  <conditionalFormatting sqref="B72:AF72">
    <cfRule type="expression" dxfId="4886" priority="41">
      <formula>B$9&gt;=20/24</formula>
    </cfRule>
    <cfRule type="expression" dxfId="4885" priority="42">
      <formula>AND(B$9&gt;=14/24,B$9&lt;20/24)</formula>
    </cfRule>
    <cfRule type="expression" dxfId="4884" priority="43">
      <formula>AND(B$9&gt;=8/24,B$9&lt;14/24)</formula>
    </cfRule>
    <cfRule type="expression" dxfId="4883" priority="44">
      <formula>B$9&lt;8/24</formula>
    </cfRule>
  </conditionalFormatting>
  <conditionalFormatting sqref="B81:AF85">
    <cfRule type="expression" dxfId="4882" priority="37">
      <formula>B$9&gt;=20/24</formula>
    </cfRule>
    <cfRule type="expression" dxfId="4881" priority="38">
      <formula>AND(B$9&gt;=14/24,B$9&lt;20/24)</formula>
    </cfRule>
    <cfRule type="expression" dxfId="4880" priority="39">
      <formula>AND(B$9&gt;=8/24,B$9&lt;14/24)</formula>
    </cfRule>
    <cfRule type="expression" dxfId="4879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4878" priority="33">
      <formula>M$9&gt;=20/24</formula>
    </cfRule>
    <cfRule type="expression" dxfId="4877" priority="34">
      <formula>AND(M$9&gt;=14/24,M$9&lt;20/24)</formula>
    </cfRule>
    <cfRule type="expression" dxfId="4876" priority="35">
      <formula>AND(M$9&gt;=8/24,M$9&lt;14/24)</formula>
    </cfRule>
    <cfRule type="expression" dxfId="4875" priority="36">
      <formula>M$9&lt;8/24</formula>
    </cfRule>
  </conditionalFormatting>
  <conditionalFormatting sqref="M39:AF41">
    <cfRule type="expression" dxfId="4874" priority="32">
      <formula>M39&gt;$AG39</formula>
    </cfRule>
  </conditionalFormatting>
  <conditionalFormatting sqref="B39:B42 C42:AG42 C39:L41">
    <cfRule type="expression" dxfId="4873" priority="28">
      <formula>B$9&gt;=20/24</formula>
    </cfRule>
    <cfRule type="expression" dxfId="4872" priority="29">
      <formula>AND(B$9&gt;=14/24,B$9&lt;20/24)</formula>
    </cfRule>
    <cfRule type="expression" dxfId="4871" priority="30">
      <formula>AND(B$9&gt;=8/24,B$9&lt;14/24)</formula>
    </cfRule>
    <cfRule type="expression" dxfId="4870" priority="31">
      <formula>B$9&lt;8/24</formula>
    </cfRule>
  </conditionalFormatting>
  <conditionalFormatting sqref="B39:B42 C42:AG42 C39:L41">
    <cfRule type="expression" dxfId="4869" priority="27">
      <formula>B39&gt;$AG39</formula>
    </cfRule>
  </conditionalFormatting>
  <conditionalFormatting sqref="C97:AF97">
    <cfRule type="expression" dxfId="4868" priority="23">
      <formula>C$9&gt;=20/24</formula>
    </cfRule>
    <cfRule type="expression" dxfId="4867" priority="24">
      <formula>AND(C$9&gt;=14/24,C$9&lt;20/24)</formula>
    </cfRule>
    <cfRule type="expression" dxfId="4866" priority="25">
      <formula>AND(C$9&gt;=8/24,C$9&lt;14/24)</formula>
    </cfRule>
    <cfRule type="expression" dxfId="4865" priority="26">
      <formula>C$9&lt;8/24</formula>
    </cfRule>
  </conditionalFormatting>
  <conditionalFormatting sqref="B97">
    <cfRule type="expression" dxfId="4864" priority="19">
      <formula>B$9&gt;=20/24</formula>
    </cfRule>
    <cfRule type="expression" dxfId="4863" priority="20">
      <formula>AND(B$9&gt;=14/24,B$9&lt;20/24)</formula>
    </cfRule>
    <cfRule type="expression" dxfId="4862" priority="21">
      <formula>AND(B$9&gt;=8/24,B$9&lt;14/24)</formula>
    </cfRule>
    <cfRule type="expression" dxfId="4861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860" priority="12">
      <formula>$AH31=0</formula>
    </cfRule>
  </conditionalFormatting>
  <conditionalFormatting sqref="A80">
    <cfRule type="expression" dxfId="4859" priority="10">
      <formula>$AH80=0</formula>
    </cfRule>
  </conditionalFormatting>
  <conditionalFormatting sqref="A77">
    <cfRule type="expression" dxfId="4858" priority="11">
      <formula>$AH77=0</formula>
    </cfRule>
  </conditionalFormatting>
  <conditionalFormatting sqref="A106">
    <cfRule type="expression" dxfId="4857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122ECF87-3562-4901-B604-DDAD079FB4B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008D96C1-72E5-4DAB-962D-ED8349BE59F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33495EA8-987A-402B-951B-1704C658ED8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A2AA6B2F-50F3-44FB-963A-32E2B7B6FF3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 B31:AF31</xm:sqref>
        </x14:conditionalFormatting>
        <x14:conditionalFormatting xmlns:xm="http://schemas.microsoft.com/office/excel/2006/main">
          <x14:cfRule type="expression" priority="13" id="{BB2069FA-77E2-4187-8304-D63F4CDEE4E4}">
            <xm:f>'C:\Users\Data Server\AppData\Local\Microsoft\Windows\INetCache\Content.MSO\[Daily-Logsheet-2079-04 Shrawan.xlsx]2'!#REF!&gt;'C:\Users\Data Server\AppData\Local\Microsoft\Windows\INetCache\Content.MSO\[Daily-Logsheet-2079-04 Shrawan.xlsx]2'!#REF!</xm:f>
            <x14:dxf>
              <fill>
                <patternFill>
                  <bgColor rgb="FFFF0000"/>
                </patternFill>
              </fill>
            </x14:dxf>
          </x14:cfRule>
          <xm:sqref>B31:AF31</xm:sqref>
        </x14:conditionalFormatting>
        <x14:conditionalFormatting xmlns:xm="http://schemas.microsoft.com/office/excel/2006/main">
          <x14:cfRule type="expression" priority="6" id="{04362FD6-6740-417A-849E-9CA1E788EAD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975EFBE1-9BE8-4D9C-891D-7C82B833DB3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4D6225EA-015A-4BED-98B4-67DCEF1F49D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41260849-A180-46FE-A882-ECE0C00DA7E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969BA5F3-D6CD-4DAD-B5D1-F2376F84E9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49A2D6C7-FA89-4408-9A15-BE1580F2105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4AA281E0-D32D-4CBF-BB4D-CA26B7AEDBF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123E62E9-A85D-4FA9-8720-02061003D7B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CJ493"/>
  <sheetViews>
    <sheetView zoomScale="90" zoomScaleNormal="90" workbookViewId="0">
      <pane xSplit="1" ySplit="10" topLeftCell="B71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2079/02/15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40</v>
      </c>
      <c r="M5" s="205">
        <f t="shared" si="0"/>
        <v>27</v>
      </c>
      <c r="N5" s="205">
        <f t="shared" si="0"/>
        <v>52</v>
      </c>
      <c r="O5" s="205">
        <f t="shared" si="0"/>
        <v>37</v>
      </c>
      <c r="P5" s="205">
        <f t="shared" si="0"/>
        <v>43</v>
      </c>
      <c r="Q5" s="205">
        <f t="shared" si="0"/>
        <v>46</v>
      </c>
      <c r="R5" s="205">
        <f t="shared" si="0"/>
        <v>6.8</v>
      </c>
      <c r="S5" s="205">
        <f t="shared" si="0"/>
        <v>35</v>
      </c>
      <c r="T5" s="205">
        <f t="shared" si="0"/>
        <v>26.3</v>
      </c>
      <c r="U5" s="205">
        <f t="shared" si="0"/>
        <v>17.899999999999999</v>
      </c>
      <c r="V5" s="205">
        <f t="shared" si="0"/>
        <v>13</v>
      </c>
      <c r="W5" s="205">
        <f t="shared" si="0"/>
        <v>13.7</v>
      </c>
      <c r="X5" s="205">
        <f t="shared" si="0"/>
        <v>11.1</v>
      </c>
      <c r="Y5" s="205">
        <f t="shared" si="0"/>
        <v>40.200000000000003</v>
      </c>
      <c r="Z5" s="205">
        <f t="shared" si="0"/>
        <v>56.4</v>
      </c>
      <c r="AA5" s="205">
        <f t="shared" si="0"/>
        <v>55.6</v>
      </c>
      <c r="AB5" s="205">
        <f t="shared" si="0"/>
        <v>59.6</v>
      </c>
      <c r="AC5" s="205">
        <f t="shared" si="0"/>
        <v>59.8</v>
      </c>
      <c r="AD5" s="205">
        <f t="shared" si="0"/>
        <v>53.6</v>
      </c>
      <c r="AE5" s="205">
        <f t="shared" si="0"/>
        <v>29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1756MW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Load=1695</v>
      </c>
      <c r="B7" s="210">
        <f>B79</f>
        <v>1762.6399999999999</v>
      </c>
      <c r="C7" s="210">
        <f t="shared" ref="C7:AF7" si="1">C79</f>
        <v>1748.9399999999998</v>
      </c>
      <c r="D7" s="210">
        <f t="shared" si="1"/>
        <v>1712.6399999999999</v>
      </c>
      <c r="E7" s="210">
        <f t="shared" si="1"/>
        <v>1716.6399999999999</v>
      </c>
      <c r="F7" s="210">
        <f t="shared" si="1"/>
        <v>1716.6399999999999</v>
      </c>
      <c r="G7" s="210">
        <f t="shared" si="1"/>
        <v>1716.6399999999999</v>
      </c>
      <c r="H7" s="210">
        <f t="shared" si="1"/>
        <v>1716.6399999999999</v>
      </c>
      <c r="I7" s="210">
        <f t="shared" si="1"/>
        <v>1716.6399999999999</v>
      </c>
      <c r="J7" s="210">
        <f t="shared" si="1"/>
        <v>1694.84</v>
      </c>
      <c r="K7" s="210">
        <f t="shared" si="1"/>
        <v>1694.84</v>
      </c>
      <c r="L7" s="210">
        <f t="shared" si="1"/>
        <v>1716.6399999999999</v>
      </c>
      <c r="M7" s="210">
        <f t="shared" si="1"/>
        <v>1755.7399999999998</v>
      </c>
      <c r="N7" s="210">
        <f t="shared" si="1"/>
        <v>1714.6399999999999</v>
      </c>
      <c r="O7" s="210">
        <f t="shared" si="1"/>
        <v>1739.6399999999999</v>
      </c>
      <c r="P7" s="210">
        <f t="shared" si="1"/>
        <v>1744.6399999999999</v>
      </c>
      <c r="Q7" s="210">
        <f t="shared" si="1"/>
        <v>1795.6399999999999</v>
      </c>
      <c r="R7" s="210">
        <f t="shared" si="1"/>
        <v>1803.6399999999999</v>
      </c>
      <c r="S7" s="210">
        <f t="shared" si="1"/>
        <v>1795.34</v>
      </c>
      <c r="T7" s="210">
        <f t="shared" si="1"/>
        <v>1822.74</v>
      </c>
      <c r="U7" s="210">
        <f t="shared" si="1"/>
        <v>1844.04</v>
      </c>
      <c r="V7" s="210">
        <f t="shared" si="1"/>
        <v>1810.74</v>
      </c>
      <c r="W7" s="210">
        <f t="shared" si="1"/>
        <v>1805.84</v>
      </c>
      <c r="X7" s="210">
        <f t="shared" si="1"/>
        <v>1804.14</v>
      </c>
      <c r="Y7" s="210">
        <f t="shared" si="1"/>
        <v>1801.54</v>
      </c>
      <c r="Z7" s="210">
        <f t="shared" si="1"/>
        <v>1866.7400000000002</v>
      </c>
      <c r="AA7" s="210">
        <f t="shared" si="1"/>
        <v>1875.5400000000002</v>
      </c>
      <c r="AB7" s="210">
        <f t="shared" si="1"/>
        <v>1874.54</v>
      </c>
      <c r="AC7" s="210">
        <f t="shared" si="1"/>
        <v>1844.2399999999998</v>
      </c>
      <c r="AD7" s="210">
        <f t="shared" si="1"/>
        <v>1847.44</v>
      </c>
      <c r="AE7" s="210">
        <f t="shared" si="1"/>
        <v>1788.6399999999999</v>
      </c>
      <c r="AF7" s="210">
        <f t="shared" si="1"/>
        <v>1743.34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53.8</v>
      </c>
      <c r="C11" s="221">
        <v>53.8</v>
      </c>
      <c r="D11" s="222">
        <v>53.9</v>
      </c>
      <c r="E11" s="222">
        <v>53.9</v>
      </c>
      <c r="F11" s="222">
        <v>53.9</v>
      </c>
      <c r="G11" s="222">
        <v>53.9</v>
      </c>
      <c r="H11" s="222">
        <v>53.9</v>
      </c>
      <c r="I11" s="222">
        <v>53.9</v>
      </c>
      <c r="J11" s="222">
        <v>53.9</v>
      </c>
      <c r="K11" s="222">
        <v>53.9</v>
      </c>
      <c r="L11" s="222">
        <v>53.9</v>
      </c>
      <c r="M11" s="222">
        <v>53.7</v>
      </c>
      <c r="N11" s="222">
        <v>53.7</v>
      </c>
      <c r="O11" s="222">
        <v>53.7</v>
      </c>
      <c r="P11" s="222">
        <v>53.7</v>
      </c>
      <c r="Q11" s="222">
        <v>53.7</v>
      </c>
      <c r="R11" s="222">
        <v>53.7</v>
      </c>
      <c r="S11" s="222">
        <v>53.7</v>
      </c>
      <c r="T11" s="222">
        <v>53.7</v>
      </c>
      <c r="U11" s="222">
        <v>53.7</v>
      </c>
      <c r="V11" s="222">
        <v>53.7</v>
      </c>
      <c r="W11" s="222">
        <v>53.7</v>
      </c>
      <c r="X11" s="222">
        <v>53.7</v>
      </c>
      <c r="Y11" s="222">
        <v>53.7</v>
      </c>
      <c r="Z11" s="222">
        <v>53.7</v>
      </c>
      <c r="AA11" s="222">
        <v>53.9</v>
      </c>
      <c r="AB11" s="224">
        <v>53.8</v>
      </c>
      <c r="AC11" s="224">
        <v>53.8</v>
      </c>
      <c r="AD11" s="224">
        <v>53.8</v>
      </c>
      <c r="AE11" s="224">
        <v>53.8</v>
      </c>
      <c r="AF11" s="224">
        <v>53.8</v>
      </c>
      <c r="AG11" s="225">
        <v>52.4</v>
      </c>
      <c r="AH11" s="226">
        <f>MAX(B11:AF11)</f>
        <v>53.9</v>
      </c>
      <c r="AI11" s="227">
        <f>MIN(B11:AF11)</f>
        <v>53.7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50.6</v>
      </c>
      <c r="C12" s="221">
        <v>50.6</v>
      </c>
      <c r="D12" s="221">
        <v>50.6</v>
      </c>
      <c r="E12" s="221">
        <v>50.6</v>
      </c>
      <c r="F12" s="221">
        <v>50.6</v>
      </c>
      <c r="G12" s="221">
        <v>50.6</v>
      </c>
      <c r="H12" s="221">
        <v>50.6</v>
      </c>
      <c r="I12" s="221">
        <v>50.6</v>
      </c>
      <c r="J12" s="221">
        <v>50.6</v>
      </c>
      <c r="K12" s="221">
        <v>50.6</v>
      </c>
      <c r="L12" s="221">
        <v>50.6</v>
      </c>
      <c r="M12" s="221">
        <v>50.4</v>
      </c>
      <c r="N12" s="221">
        <v>50.4</v>
      </c>
      <c r="O12" s="221">
        <v>50.4</v>
      </c>
      <c r="P12" s="221">
        <v>50.4</v>
      </c>
      <c r="Q12" s="221">
        <v>50.4</v>
      </c>
      <c r="R12" s="221">
        <v>50.4</v>
      </c>
      <c r="S12" s="221">
        <v>50.4</v>
      </c>
      <c r="T12" s="221">
        <v>50.4</v>
      </c>
      <c r="U12" s="221">
        <v>50.4</v>
      </c>
      <c r="V12" s="221">
        <v>50.4</v>
      </c>
      <c r="W12" s="221">
        <v>50.4</v>
      </c>
      <c r="X12" s="221">
        <v>50.4</v>
      </c>
      <c r="Y12" s="221">
        <v>50.4</v>
      </c>
      <c r="Z12" s="221">
        <v>50.4</v>
      </c>
      <c r="AA12" s="221">
        <v>50.1</v>
      </c>
      <c r="AB12" s="221">
        <v>50.1</v>
      </c>
      <c r="AC12" s="221">
        <v>50</v>
      </c>
      <c r="AD12" s="221">
        <v>50</v>
      </c>
      <c r="AE12" s="221">
        <v>50</v>
      </c>
      <c r="AF12" s="221">
        <v>50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42.8</v>
      </c>
      <c r="E13" s="221">
        <v>42.8</v>
      </c>
      <c r="F13" s="221">
        <v>42.8</v>
      </c>
      <c r="G13" s="221">
        <v>42.8</v>
      </c>
      <c r="H13" s="221">
        <v>42.8</v>
      </c>
      <c r="I13" s="221">
        <v>42.8</v>
      </c>
      <c r="J13" s="221">
        <v>42.8</v>
      </c>
      <c r="K13" s="221">
        <v>42.8</v>
      </c>
      <c r="L13" s="221">
        <v>42.8</v>
      </c>
      <c r="M13" s="221">
        <v>42.9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45.9</v>
      </c>
      <c r="Y13" s="221">
        <v>45.9</v>
      </c>
      <c r="Z13" s="221">
        <v>45.9</v>
      </c>
      <c r="AA13" s="221">
        <v>46</v>
      </c>
      <c r="AB13" s="221">
        <v>46.1</v>
      </c>
      <c r="AC13" s="221">
        <v>46</v>
      </c>
      <c r="AD13" s="221">
        <v>46.1</v>
      </c>
      <c r="AE13" s="221">
        <v>46.1</v>
      </c>
      <c r="AF13" s="221">
        <v>46.1</v>
      </c>
      <c r="AG13" s="229">
        <v>45</v>
      </c>
      <c r="AH13" s="226">
        <f t="shared" si="2"/>
        <v>46.1</v>
      </c>
      <c r="AI13" s="227">
        <f t="shared" si="3"/>
        <v>42.8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32</v>
      </c>
      <c r="C14" s="221">
        <v>32</v>
      </c>
      <c r="D14" s="221">
        <v>28</v>
      </c>
      <c r="E14" s="221">
        <v>28</v>
      </c>
      <c r="F14" s="221">
        <v>28</v>
      </c>
      <c r="G14" s="221">
        <v>28</v>
      </c>
      <c r="H14" s="221">
        <v>28</v>
      </c>
      <c r="I14" s="221">
        <v>28</v>
      </c>
      <c r="J14" s="221">
        <v>28</v>
      </c>
      <c r="K14" s="221">
        <v>28</v>
      </c>
      <c r="L14" s="221">
        <v>28</v>
      </c>
      <c r="M14" s="221">
        <v>28</v>
      </c>
      <c r="N14" s="221">
        <v>0</v>
      </c>
      <c r="O14" s="221">
        <v>0</v>
      </c>
      <c r="P14" s="221">
        <v>0</v>
      </c>
      <c r="Q14" s="221">
        <v>30</v>
      </c>
      <c r="R14" s="221">
        <v>30</v>
      </c>
      <c r="S14" s="221">
        <v>30</v>
      </c>
      <c r="T14" s="221">
        <v>0</v>
      </c>
      <c r="U14" s="221">
        <v>30</v>
      </c>
      <c r="V14" s="221">
        <v>32</v>
      </c>
      <c r="W14" s="221">
        <v>32</v>
      </c>
      <c r="X14" s="221">
        <v>32</v>
      </c>
      <c r="Y14" s="221">
        <v>32</v>
      </c>
      <c r="Z14" s="221">
        <v>38</v>
      </c>
      <c r="AA14" s="221">
        <v>0</v>
      </c>
      <c r="AB14" s="221">
        <v>0</v>
      </c>
      <c r="AC14" s="221">
        <v>0</v>
      </c>
      <c r="AD14" s="221">
        <v>0</v>
      </c>
      <c r="AE14" s="221">
        <v>0</v>
      </c>
      <c r="AF14" s="221">
        <v>0</v>
      </c>
      <c r="AG14" s="229">
        <v>42</v>
      </c>
      <c r="AH14" s="226">
        <f t="shared" si="2"/>
        <v>38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15</v>
      </c>
      <c r="C15" s="221">
        <v>15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0</v>
      </c>
      <c r="M15" s="221">
        <v>0</v>
      </c>
      <c r="N15" s="221">
        <v>0</v>
      </c>
      <c r="O15" s="221">
        <v>0</v>
      </c>
      <c r="P15" s="221">
        <v>0</v>
      </c>
      <c r="Q15" s="221">
        <v>15</v>
      </c>
      <c r="R15" s="221">
        <v>20</v>
      </c>
      <c r="S15" s="221">
        <v>20</v>
      </c>
      <c r="T15" s="221">
        <v>30</v>
      </c>
      <c r="U15" s="221">
        <v>30</v>
      </c>
      <c r="V15" s="221">
        <v>20.5</v>
      </c>
      <c r="W15" s="221">
        <v>20.5</v>
      </c>
      <c r="X15" s="221">
        <v>20.5</v>
      </c>
      <c r="Y15" s="221">
        <v>20.5</v>
      </c>
      <c r="Z15" s="221">
        <v>20.5</v>
      </c>
      <c r="AA15" s="221">
        <v>29.2</v>
      </c>
      <c r="AB15" s="221">
        <v>30</v>
      </c>
      <c r="AC15" s="221">
        <v>30</v>
      </c>
      <c r="AD15" s="221">
        <v>30</v>
      </c>
      <c r="AE15" s="221">
        <v>30</v>
      </c>
      <c r="AF15" s="221">
        <v>25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</v>
      </c>
      <c r="C16" s="221">
        <v>26</v>
      </c>
      <c r="D16" s="221">
        <v>24</v>
      </c>
      <c r="E16" s="221">
        <v>24</v>
      </c>
      <c r="F16" s="221">
        <v>24</v>
      </c>
      <c r="G16" s="221">
        <v>24</v>
      </c>
      <c r="H16" s="221">
        <v>24</v>
      </c>
      <c r="I16" s="221">
        <v>24</v>
      </c>
      <c r="J16" s="221">
        <v>24</v>
      </c>
      <c r="K16" s="221">
        <v>24</v>
      </c>
      <c r="L16" s="221">
        <v>24</v>
      </c>
      <c r="M16" s="221">
        <v>25.1</v>
      </c>
      <c r="N16" s="221">
        <v>25.1</v>
      </c>
      <c r="O16" s="221">
        <v>25.1</v>
      </c>
      <c r="P16" s="221">
        <v>25.1</v>
      </c>
      <c r="Q16" s="221">
        <v>25.1</v>
      </c>
      <c r="R16" s="221">
        <v>25.1</v>
      </c>
      <c r="S16" s="221">
        <v>25.1</v>
      </c>
      <c r="T16" s="221">
        <v>25.1</v>
      </c>
      <c r="U16" s="221">
        <v>25.1</v>
      </c>
      <c r="V16" s="221">
        <v>25.1</v>
      </c>
      <c r="W16" s="221">
        <v>25.1</v>
      </c>
      <c r="X16" s="221">
        <v>25.1</v>
      </c>
      <c r="Y16" s="221">
        <v>25.1</v>
      </c>
      <c r="Z16" s="221">
        <v>25.1</v>
      </c>
      <c r="AA16" s="221">
        <v>26</v>
      </c>
      <c r="AB16" s="221">
        <v>26</v>
      </c>
      <c r="AC16" s="221">
        <v>26</v>
      </c>
      <c r="AD16" s="221">
        <v>26</v>
      </c>
      <c r="AE16" s="221">
        <v>26</v>
      </c>
      <c r="AF16" s="221">
        <v>26</v>
      </c>
      <c r="AG16" s="229">
        <v>25</v>
      </c>
      <c r="AH16" s="226">
        <f t="shared" si="2"/>
        <v>26</v>
      </c>
      <c r="AI16" s="227">
        <f t="shared" si="3"/>
        <v>24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23</v>
      </c>
      <c r="C17" s="221">
        <v>23</v>
      </c>
      <c r="D17" s="221">
        <v>23</v>
      </c>
      <c r="E17" s="221">
        <v>23</v>
      </c>
      <c r="F17" s="221">
        <v>23</v>
      </c>
      <c r="G17" s="221">
        <v>23</v>
      </c>
      <c r="H17" s="221">
        <v>23</v>
      </c>
      <c r="I17" s="221">
        <v>23</v>
      </c>
      <c r="J17" s="221">
        <v>23</v>
      </c>
      <c r="K17" s="221">
        <v>23</v>
      </c>
      <c r="L17" s="221">
        <v>23</v>
      </c>
      <c r="M17" s="221">
        <v>23</v>
      </c>
      <c r="N17" s="221">
        <v>23</v>
      </c>
      <c r="O17" s="221">
        <v>23</v>
      </c>
      <c r="P17" s="221">
        <v>23</v>
      </c>
      <c r="Q17" s="221">
        <v>23</v>
      </c>
      <c r="R17" s="221">
        <v>23</v>
      </c>
      <c r="S17" s="221">
        <v>23</v>
      </c>
      <c r="T17" s="221">
        <v>23</v>
      </c>
      <c r="U17" s="221">
        <v>23</v>
      </c>
      <c r="V17" s="221">
        <v>23</v>
      </c>
      <c r="W17" s="221">
        <v>23</v>
      </c>
      <c r="X17" s="221">
        <v>23</v>
      </c>
      <c r="Y17" s="221">
        <v>23</v>
      </c>
      <c r="Z17" s="221">
        <v>23</v>
      </c>
      <c r="AA17" s="221">
        <v>23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25</v>
      </c>
      <c r="C19" s="221">
        <v>24</v>
      </c>
      <c r="D19" s="221">
        <v>24</v>
      </c>
      <c r="E19" s="221">
        <v>24</v>
      </c>
      <c r="F19" s="221">
        <v>24</v>
      </c>
      <c r="G19" s="221">
        <v>24</v>
      </c>
      <c r="H19" s="221">
        <v>24</v>
      </c>
      <c r="I19" s="221">
        <v>24</v>
      </c>
      <c r="J19" s="221">
        <v>24</v>
      </c>
      <c r="K19" s="221">
        <v>24</v>
      </c>
      <c r="L19" s="221">
        <v>24</v>
      </c>
      <c r="M19" s="221">
        <v>24</v>
      </c>
      <c r="N19" s="221">
        <v>24</v>
      </c>
      <c r="O19" s="221">
        <v>24</v>
      </c>
      <c r="P19" s="221">
        <v>24</v>
      </c>
      <c r="Q19" s="221">
        <v>24</v>
      </c>
      <c r="R19" s="221">
        <v>24</v>
      </c>
      <c r="S19" s="221">
        <v>24</v>
      </c>
      <c r="T19" s="221">
        <v>33.200000000000003</v>
      </c>
      <c r="U19" s="221">
        <v>33.200000000000003</v>
      </c>
      <c r="V19" s="221">
        <v>26</v>
      </c>
      <c r="W19" s="221">
        <v>26</v>
      </c>
      <c r="X19" s="221">
        <v>26</v>
      </c>
      <c r="Y19" s="221">
        <v>26</v>
      </c>
      <c r="Z19" s="221">
        <v>33.200000000000003</v>
      </c>
      <c r="AA19" s="221">
        <v>33.200000000000003</v>
      </c>
      <c r="AB19" s="221">
        <v>26.1</v>
      </c>
      <c r="AC19" s="221">
        <v>26.1</v>
      </c>
      <c r="AD19" s="221">
        <v>26.1</v>
      </c>
      <c r="AE19" s="221">
        <v>26.1</v>
      </c>
      <c r="AF19" s="221">
        <v>26.1</v>
      </c>
      <c r="AG19" s="229">
        <v>24.2</v>
      </c>
      <c r="AH19" s="226">
        <f t="shared" si="2"/>
        <v>33.200000000000003</v>
      </c>
      <c r="AI19" s="227">
        <f t="shared" si="3"/>
        <v>24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22</v>
      </c>
      <c r="C20" s="221">
        <v>22</v>
      </c>
      <c r="D20" s="221">
        <v>22</v>
      </c>
      <c r="E20" s="221">
        <v>22</v>
      </c>
      <c r="F20" s="221">
        <v>22</v>
      </c>
      <c r="G20" s="221">
        <v>22</v>
      </c>
      <c r="H20" s="221">
        <v>22</v>
      </c>
      <c r="I20" s="221">
        <v>22</v>
      </c>
      <c r="J20" s="221">
        <v>22</v>
      </c>
      <c r="K20" s="221">
        <v>22</v>
      </c>
      <c r="L20" s="221">
        <v>22</v>
      </c>
      <c r="M20" s="221">
        <v>22</v>
      </c>
      <c r="N20" s="221">
        <v>22</v>
      </c>
      <c r="O20" s="221">
        <v>22</v>
      </c>
      <c r="P20" s="221">
        <v>22</v>
      </c>
      <c r="Q20" s="221">
        <v>22</v>
      </c>
      <c r="R20" s="221">
        <v>22</v>
      </c>
      <c r="S20" s="221">
        <v>22</v>
      </c>
      <c r="T20" s="221">
        <v>22</v>
      </c>
      <c r="U20" s="221">
        <v>22</v>
      </c>
      <c r="V20" s="221">
        <v>22</v>
      </c>
      <c r="W20" s="221">
        <v>22</v>
      </c>
      <c r="X20" s="221">
        <v>22</v>
      </c>
      <c r="Y20" s="221">
        <v>22</v>
      </c>
      <c r="Z20" s="221">
        <v>22</v>
      </c>
      <c r="AA20" s="221">
        <v>23.3</v>
      </c>
      <c r="AB20" s="221">
        <v>23.3</v>
      </c>
      <c r="AC20" s="221">
        <v>23.3</v>
      </c>
      <c r="AD20" s="221">
        <v>23.3</v>
      </c>
      <c r="AE20" s="221">
        <v>23.3</v>
      </c>
      <c r="AF20" s="221">
        <v>23.3</v>
      </c>
      <c r="AG20" s="229">
        <v>23.5</v>
      </c>
      <c r="AH20" s="226">
        <f t="shared" si="2"/>
        <v>23.3</v>
      </c>
      <c r="AI20" s="227">
        <f t="shared" si="3"/>
        <v>22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5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0</v>
      </c>
      <c r="N25" s="221">
        <v>0</v>
      </c>
      <c r="O25" s="221">
        <v>0</v>
      </c>
      <c r="P25" s="221">
        <v>10</v>
      </c>
      <c r="Q25" s="221">
        <v>10</v>
      </c>
      <c r="R25" s="221">
        <v>10</v>
      </c>
      <c r="S25" s="221">
        <v>10</v>
      </c>
      <c r="T25" s="221">
        <v>20</v>
      </c>
      <c r="U25" s="221">
        <v>20</v>
      </c>
      <c r="V25" s="221">
        <v>12</v>
      </c>
      <c r="W25" s="221">
        <v>12</v>
      </c>
      <c r="X25" s="221">
        <v>12</v>
      </c>
      <c r="Y25" s="221">
        <v>12</v>
      </c>
      <c r="Z25" s="221">
        <v>14</v>
      </c>
      <c r="AA25" s="221">
        <v>0</v>
      </c>
      <c r="AB25" s="221">
        <v>0</v>
      </c>
      <c r="AC25" s="221">
        <v>0</v>
      </c>
      <c r="AD25" s="221">
        <v>0</v>
      </c>
      <c r="AE25" s="221">
        <v>0</v>
      </c>
      <c r="AF25" s="221">
        <v>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10</v>
      </c>
      <c r="C27" s="221">
        <v>10</v>
      </c>
      <c r="D27" s="221">
        <v>10</v>
      </c>
      <c r="E27" s="221">
        <v>10</v>
      </c>
      <c r="F27" s="221">
        <v>10</v>
      </c>
      <c r="G27" s="221">
        <v>10</v>
      </c>
      <c r="H27" s="221">
        <v>10</v>
      </c>
      <c r="I27" s="221">
        <v>10</v>
      </c>
      <c r="J27" s="221">
        <v>10</v>
      </c>
      <c r="K27" s="221">
        <v>10</v>
      </c>
      <c r="L27" s="221">
        <v>10</v>
      </c>
      <c r="M27" s="221">
        <v>10</v>
      </c>
      <c r="N27" s="221">
        <v>10</v>
      </c>
      <c r="O27" s="221">
        <v>10</v>
      </c>
      <c r="P27" s="221">
        <v>10</v>
      </c>
      <c r="Q27" s="221">
        <v>10</v>
      </c>
      <c r="R27" s="221">
        <v>10</v>
      </c>
      <c r="S27" s="221">
        <v>10</v>
      </c>
      <c r="T27" s="221">
        <v>10</v>
      </c>
      <c r="U27" s="221">
        <v>10</v>
      </c>
      <c r="V27" s="221">
        <v>10</v>
      </c>
      <c r="W27" s="221">
        <v>10</v>
      </c>
      <c r="X27" s="221">
        <v>10</v>
      </c>
      <c r="Y27" s="221">
        <v>10</v>
      </c>
      <c r="Z27" s="221">
        <v>10</v>
      </c>
      <c r="AA27" s="221">
        <v>0</v>
      </c>
      <c r="AB27" s="221">
        <v>0</v>
      </c>
      <c r="AC27" s="221">
        <v>0</v>
      </c>
      <c r="AD27" s="221">
        <v>0</v>
      </c>
      <c r="AE27" s="221">
        <v>0</v>
      </c>
      <c r="AF27" s="221">
        <v>0</v>
      </c>
      <c r="AG27" s="229">
        <v>13.6</v>
      </c>
      <c r="AH27" s="226">
        <f t="shared" si="2"/>
        <v>10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0</v>
      </c>
      <c r="C29" s="221">
        <v>0</v>
      </c>
      <c r="D29" s="221">
        <v>0</v>
      </c>
      <c r="E29" s="221">
        <v>0</v>
      </c>
      <c r="F29" s="221">
        <v>0</v>
      </c>
      <c r="G29" s="221">
        <v>0</v>
      </c>
      <c r="H29" s="221">
        <v>0</v>
      </c>
      <c r="I29" s="221">
        <v>0</v>
      </c>
      <c r="J29" s="221">
        <v>0</v>
      </c>
      <c r="K29" s="221">
        <v>0</v>
      </c>
      <c r="L29" s="221">
        <v>0</v>
      </c>
      <c r="M29" s="221">
        <v>4</v>
      </c>
      <c r="N29" s="221">
        <v>4</v>
      </c>
      <c r="O29" s="221">
        <v>4</v>
      </c>
      <c r="P29" s="221">
        <v>4</v>
      </c>
      <c r="Q29" s="221">
        <v>4</v>
      </c>
      <c r="R29" s="221">
        <v>4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4</v>
      </c>
      <c r="AA29" s="221">
        <v>0</v>
      </c>
      <c r="AB29" s="221">
        <v>0</v>
      </c>
      <c r="AC29" s="221">
        <v>0</v>
      </c>
      <c r="AD29" s="221">
        <v>0</v>
      </c>
      <c r="AE29" s="221">
        <v>0</v>
      </c>
      <c r="AF29" s="221">
        <v>0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0</v>
      </c>
      <c r="O34" s="221">
        <v>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0</v>
      </c>
      <c r="AB34" s="221">
        <v>0</v>
      </c>
      <c r="AC34" s="221">
        <v>0</v>
      </c>
      <c r="AD34" s="221">
        <v>0</v>
      </c>
      <c r="AE34" s="221">
        <v>0</v>
      </c>
      <c r="AF34" s="221">
        <v>0</v>
      </c>
      <c r="AG34" s="235">
        <v>10</v>
      </c>
      <c r="AH34" s="226">
        <f t="shared" si="2"/>
        <v>10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2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301</v>
      </c>
      <c r="C36" s="237">
        <v>301</v>
      </c>
      <c r="D36" s="237">
        <v>301</v>
      </c>
      <c r="E36" s="237">
        <v>301</v>
      </c>
      <c r="F36" s="237">
        <v>301</v>
      </c>
      <c r="G36" s="237">
        <v>301</v>
      </c>
      <c r="H36" s="237">
        <v>301</v>
      </c>
      <c r="I36" s="237">
        <v>301</v>
      </c>
      <c r="J36" s="237">
        <v>301</v>
      </c>
      <c r="K36" s="237">
        <v>301</v>
      </c>
      <c r="L36" s="237">
        <v>301</v>
      </c>
      <c r="M36" s="237">
        <v>301</v>
      </c>
      <c r="N36" s="237">
        <v>301</v>
      </c>
      <c r="O36" s="237">
        <v>301</v>
      </c>
      <c r="P36" s="237">
        <v>301</v>
      </c>
      <c r="Q36" s="237">
        <v>301</v>
      </c>
      <c r="R36" s="237">
        <v>301</v>
      </c>
      <c r="S36" s="237">
        <v>301</v>
      </c>
      <c r="T36" s="237">
        <v>301</v>
      </c>
      <c r="U36" s="237">
        <v>301</v>
      </c>
      <c r="V36" s="237">
        <v>301</v>
      </c>
      <c r="W36" s="237">
        <v>301</v>
      </c>
      <c r="X36" s="237">
        <v>301</v>
      </c>
      <c r="Y36" s="237">
        <v>301</v>
      </c>
      <c r="Z36" s="237">
        <v>301</v>
      </c>
      <c r="AA36" s="237">
        <v>301</v>
      </c>
      <c r="AB36" s="237">
        <v>301</v>
      </c>
      <c r="AC36" s="237">
        <v>301</v>
      </c>
      <c r="AD36" s="237">
        <v>301</v>
      </c>
      <c r="AE36" s="237">
        <v>301</v>
      </c>
      <c r="AF36" s="237">
        <v>301</v>
      </c>
      <c r="AG36" s="235">
        <v>85</v>
      </c>
      <c r="AH36" s="226">
        <f t="shared" si="2"/>
        <v>301</v>
      </c>
      <c r="AI36" s="227">
        <f t="shared" si="3"/>
        <v>301</v>
      </c>
      <c r="AK36" s="228"/>
    </row>
    <row r="37" spans="1:88" ht="15.75" thickBot="1" x14ac:dyDescent="0.3">
      <c r="A37" s="238" t="s">
        <v>45</v>
      </c>
      <c r="B37" s="239">
        <v>170</v>
      </c>
      <c r="C37" s="239">
        <v>170</v>
      </c>
      <c r="D37" s="239">
        <v>170</v>
      </c>
      <c r="E37" s="239">
        <v>170</v>
      </c>
      <c r="F37" s="239">
        <f>66.7+80.6</f>
        <v>147.30000000000001</v>
      </c>
      <c r="G37" s="239">
        <f t="shared" ref="G37:L37" si="4">66.7+80.6</f>
        <v>147.30000000000001</v>
      </c>
      <c r="H37" s="239">
        <f t="shared" si="4"/>
        <v>147.30000000000001</v>
      </c>
      <c r="I37" s="239">
        <f t="shared" si="4"/>
        <v>147.30000000000001</v>
      </c>
      <c r="J37" s="239">
        <f t="shared" si="4"/>
        <v>147.30000000000001</v>
      </c>
      <c r="K37" s="239">
        <f t="shared" si="4"/>
        <v>147.30000000000001</v>
      </c>
      <c r="L37" s="239">
        <f t="shared" si="4"/>
        <v>147.30000000000001</v>
      </c>
      <c r="M37" s="239">
        <f t="shared" ref="M37:R37" si="5">73.6+85.5</f>
        <v>159.1</v>
      </c>
      <c r="N37" s="239">
        <f t="shared" si="5"/>
        <v>159.1</v>
      </c>
      <c r="O37" s="239">
        <f t="shared" si="5"/>
        <v>159.1</v>
      </c>
      <c r="P37" s="239">
        <f t="shared" si="5"/>
        <v>159.1</v>
      </c>
      <c r="Q37" s="239">
        <f t="shared" si="5"/>
        <v>159.1</v>
      </c>
      <c r="R37" s="239">
        <f t="shared" si="5"/>
        <v>159.1</v>
      </c>
      <c r="S37" s="239">
        <f>76.4+88.8</f>
        <v>165.2</v>
      </c>
      <c r="T37" s="239">
        <f>76.7+74.5</f>
        <v>151.19999999999999</v>
      </c>
      <c r="U37" s="239">
        <f>76.4+76.6</f>
        <v>153</v>
      </c>
      <c r="V37" s="239">
        <f>76.7+76</f>
        <v>152.69999999999999</v>
      </c>
      <c r="W37" s="239">
        <f>76.5+94.5</f>
        <v>171</v>
      </c>
      <c r="X37" s="239">
        <f>76+93</f>
        <v>169</v>
      </c>
      <c r="Y37" s="239">
        <f>76+93.7</f>
        <v>169.7</v>
      </c>
      <c r="Z37" s="239">
        <f>76+93.7</f>
        <v>169.7</v>
      </c>
      <c r="AA37" s="239">
        <v>169.39999999999998</v>
      </c>
      <c r="AB37" s="239">
        <f>93.7+76.8</f>
        <v>170.5</v>
      </c>
      <c r="AC37" s="239">
        <f>94.2+76.8</f>
        <v>171</v>
      </c>
      <c r="AD37" s="239">
        <f>94.6+76.7</f>
        <v>171.3</v>
      </c>
      <c r="AE37" s="239">
        <f>96+77.6</f>
        <v>173.6</v>
      </c>
      <c r="AF37" s="239">
        <f>96.7+77.8</f>
        <v>174.5</v>
      </c>
      <c r="AG37" s="235">
        <v>240</v>
      </c>
      <c r="AH37" s="226">
        <f t="shared" si="2"/>
        <v>174.5</v>
      </c>
      <c r="AI37" s="227">
        <f t="shared" si="3"/>
        <v>147.30000000000001</v>
      </c>
      <c r="AK37" s="228"/>
    </row>
    <row r="38" spans="1:88" ht="15.75" thickBot="1" x14ac:dyDescent="0.3">
      <c r="A38" s="240" t="s">
        <v>46</v>
      </c>
      <c r="B38" s="241">
        <f t="shared" ref="B38:AG38" si="6">SUM(B11:B36)</f>
        <v>789.09999999999991</v>
      </c>
      <c r="C38" s="241">
        <f t="shared" si="6"/>
        <v>788.09999999999991</v>
      </c>
      <c r="D38" s="241">
        <f t="shared" si="6"/>
        <v>759</v>
      </c>
      <c r="E38" s="241">
        <f t="shared" si="6"/>
        <v>759</v>
      </c>
      <c r="F38" s="241">
        <f t="shared" si="6"/>
        <v>759</v>
      </c>
      <c r="G38" s="241">
        <f t="shared" si="6"/>
        <v>759</v>
      </c>
      <c r="H38" s="241">
        <f t="shared" si="6"/>
        <v>759</v>
      </c>
      <c r="I38" s="241">
        <f t="shared" si="6"/>
        <v>759</v>
      </c>
      <c r="J38" s="241">
        <f t="shared" si="6"/>
        <v>759</v>
      </c>
      <c r="K38" s="241">
        <f t="shared" si="6"/>
        <v>759</v>
      </c>
      <c r="L38" s="241">
        <f t="shared" si="6"/>
        <v>759</v>
      </c>
      <c r="M38" s="241">
        <f t="shared" si="6"/>
        <v>763.8</v>
      </c>
      <c r="N38" s="241">
        <f t="shared" si="6"/>
        <v>728.8</v>
      </c>
      <c r="O38" s="241">
        <f t="shared" si="6"/>
        <v>728.8</v>
      </c>
      <c r="P38" s="241">
        <f t="shared" si="6"/>
        <v>748.8</v>
      </c>
      <c r="Q38" s="241">
        <f t="shared" si="6"/>
        <v>793.8</v>
      </c>
      <c r="R38" s="241">
        <f t="shared" si="6"/>
        <v>798.8</v>
      </c>
      <c r="S38" s="241">
        <f t="shared" si="6"/>
        <v>808.8</v>
      </c>
      <c r="T38" s="241">
        <f t="shared" si="6"/>
        <v>808</v>
      </c>
      <c r="U38" s="241">
        <f t="shared" si="6"/>
        <v>838</v>
      </c>
      <c r="V38" s="241">
        <f t="shared" si="6"/>
        <v>815.3</v>
      </c>
      <c r="W38" s="241">
        <f t="shared" si="6"/>
        <v>815.3</v>
      </c>
      <c r="X38" s="241">
        <f t="shared" si="6"/>
        <v>815.3</v>
      </c>
      <c r="Y38" s="241">
        <f t="shared" si="6"/>
        <v>815.3</v>
      </c>
      <c r="Z38" s="241">
        <f t="shared" si="6"/>
        <v>820.5</v>
      </c>
      <c r="AA38" s="241">
        <f t="shared" si="6"/>
        <v>755.4</v>
      </c>
      <c r="AB38" s="241">
        <f t="shared" si="6"/>
        <v>751.1</v>
      </c>
      <c r="AC38" s="241">
        <f t="shared" si="6"/>
        <v>750.90000000000009</v>
      </c>
      <c r="AD38" s="241">
        <f t="shared" si="6"/>
        <v>751</v>
      </c>
      <c r="AE38" s="241">
        <f t="shared" si="6"/>
        <v>751</v>
      </c>
      <c r="AF38" s="241">
        <f t="shared" si="6"/>
        <v>746</v>
      </c>
      <c r="AG38" s="242">
        <f t="shared" si="6"/>
        <v>665.78</v>
      </c>
      <c r="AH38" s="226">
        <f t="shared" si="2"/>
        <v>838</v>
      </c>
      <c r="AI38" s="227">
        <f t="shared" si="3"/>
        <v>728.8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7">SUM(C39:C41)</f>
        <v>538</v>
      </c>
      <c r="D42" s="241">
        <f t="shared" si="7"/>
        <v>538</v>
      </c>
      <c r="E42" s="241">
        <f t="shared" si="7"/>
        <v>538</v>
      </c>
      <c r="F42" s="241">
        <f t="shared" si="7"/>
        <v>538</v>
      </c>
      <c r="G42" s="241">
        <f t="shared" si="7"/>
        <v>538</v>
      </c>
      <c r="H42" s="241">
        <f t="shared" si="7"/>
        <v>538</v>
      </c>
      <c r="I42" s="241">
        <f t="shared" si="7"/>
        <v>538</v>
      </c>
      <c r="J42" s="241">
        <f t="shared" si="7"/>
        <v>538</v>
      </c>
      <c r="K42" s="241">
        <f t="shared" si="7"/>
        <v>538</v>
      </c>
      <c r="L42" s="241">
        <f t="shared" si="7"/>
        <v>538</v>
      </c>
      <c r="M42" s="241">
        <f t="shared" si="7"/>
        <v>538</v>
      </c>
      <c r="N42" s="241">
        <f t="shared" si="7"/>
        <v>538</v>
      </c>
      <c r="O42" s="241">
        <f t="shared" si="7"/>
        <v>538</v>
      </c>
      <c r="P42" s="241">
        <f t="shared" si="7"/>
        <v>538</v>
      </c>
      <c r="Q42" s="241">
        <f t="shared" si="7"/>
        <v>538</v>
      </c>
      <c r="R42" s="241">
        <f t="shared" si="7"/>
        <v>538</v>
      </c>
      <c r="S42" s="241">
        <f t="shared" si="7"/>
        <v>538</v>
      </c>
      <c r="T42" s="241">
        <f t="shared" si="7"/>
        <v>538</v>
      </c>
      <c r="U42" s="241">
        <f t="shared" si="7"/>
        <v>538</v>
      </c>
      <c r="V42" s="241">
        <f t="shared" si="7"/>
        <v>538</v>
      </c>
      <c r="W42" s="241">
        <f t="shared" si="7"/>
        <v>538</v>
      </c>
      <c r="X42" s="241">
        <f t="shared" si="7"/>
        <v>538</v>
      </c>
      <c r="Y42" s="241">
        <f t="shared" si="7"/>
        <v>538</v>
      </c>
      <c r="Z42" s="241">
        <f t="shared" si="7"/>
        <v>538</v>
      </c>
      <c r="AA42" s="241">
        <f t="shared" si="7"/>
        <v>538</v>
      </c>
      <c r="AB42" s="241">
        <f t="shared" si="7"/>
        <v>538</v>
      </c>
      <c r="AC42" s="241">
        <f t="shared" si="7"/>
        <v>538</v>
      </c>
      <c r="AD42" s="241">
        <f t="shared" si="7"/>
        <v>538</v>
      </c>
      <c r="AE42" s="241">
        <f t="shared" si="7"/>
        <v>538</v>
      </c>
      <c r="AF42" s="241">
        <f t="shared" si="7"/>
        <v>538</v>
      </c>
      <c r="AG42" s="242">
        <f t="shared" si="7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142</v>
      </c>
      <c r="C43" s="221">
        <v>141</v>
      </c>
      <c r="D43" s="221">
        <v>141.80000000000001</v>
      </c>
      <c r="E43" s="221">
        <v>141.80000000000001</v>
      </c>
      <c r="F43" s="221">
        <v>141.80000000000001</v>
      </c>
      <c r="G43" s="221">
        <v>141.80000000000001</v>
      </c>
      <c r="H43" s="221">
        <v>141.80000000000001</v>
      </c>
      <c r="I43" s="221">
        <v>141.80000000000001</v>
      </c>
      <c r="J43" s="221">
        <v>130</v>
      </c>
      <c r="K43" s="221">
        <v>130</v>
      </c>
      <c r="L43" s="221">
        <v>141.80000000000001</v>
      </c>
      <c r="M43" s="221">
        <v>140.6</v>
      </c>
      <c r="N43" s="221">
        <v>140.6</v>
      </c>
      <c r="O43" s="221">
        <v>140.6</v>
      </c>
      <c r="P43" s="221">
        <v>140.6</v>
      </c>
      <c r="Q43" s="221">
        <v>140.6</v>
      </c>
      <c r="R43" s="221">
        <v>140.6</v>
      </c>
      <c r="S43" s="221">
        <v>140</v>
      </c>
      <c r="T43" s="221">
        <v>140</v>
      </c>
      <c r="U43" s="221">
        <v>140</v>
      </c>
      <c r="V43" s="221">
        <v>139.4</v>
      </c>
      <c r="W43" s="221">
        <v>139.4</v>
      </c>
      <c r="X43" s="221">
        <v>140</v>
      </c>
      <c r="Y43" s="221">
        <v>140</v>
      </c>
      <c r="Z43" s="221">
        <v>140</v>
      </c>
      <c r="AA43" s="221">
        <v>141.19999999999999</v>
      </c>
      <c r="AB43" s="221">
        <v>140.69999999999999</v>
      </c>
      <c r="AC43" s="221">
        <v>141.1</v>
      </c>
      <c r="AD43" s="221">
        <v>141.1</v>
      </c>
      <c r="AE43" s="221">
        <v>139.80000000000001</v>
      </c>
      <c r="AF43" s="221">
        <v>139.5</v>
      </c>
      <c r="AG43" s="230">
        <v>144</v>
      </c>
      <c r="AH43" s="226">
        <f t="shared" si="2"/>
        <v>142</v>
      </c>
      <c r="AI43" s="227">
        <f t="shared" si="3"/>
        <v>130</v>
      </c>
      <c r="AK43" s="228"/>
    </row>
    <row r="44" spans="1:88" x14ac:dyDescent="0.25">
      <c r="A44" s="234" t="s">
        <v>52</v>
      </c>
      <c r="B44" s="245">
        <v>73</v>
      </c>
      <c r="C44" s="245">
        <v>71.400000000000006</v>
      </c>
      <c r="D44" s="245">
        <v>66</v>
      </c>
      <c r="E44" s="245">
        <v>70</v>
      </c>
      <c r="F44" s="245">
        <v>70</v>
      </c>
      <c r="G44" s="245">
        <v>70</v>
      </c>
      <c r="H44" s="245">
        <v>70</v>
      </c>
      <c r="I44" s="245">
        <v>70</v>
      </c>
      <c r="J44" s="245">
        <v>60</v>
      </c>
      <c r="K44" s="245">
        <v>60</v>
      </c>
      <c r="L44" s="245">
        <v>70</v>
      </c>
      <c r="M44" s="221">
        <v>65.7</v>
      </c>
      <c r="N44" s="221">
        <v>71</v>
      </c>
      <c r="O44" s="221">
        <v>71</v>
      </c>
      <c r="P44" s="221">
        <v>71</v>
      </c>
      <c r="Q44" s="221">
        <v>71</v>
      </c>
      <c r="R44" s="221">
        <v>71</v>
      </c>
      <c r="S44" s="245">
        <v>71.400000000000006</v>
      </c>
      <c r="T44" s="245">
        <v>71.400000000000006</v>
      </c>
      <c r="U44" s="245">
        <v>71.400000000000006</v>
      </c>
      <c r="V44" s="245">
        <v>71.900000000000006</v>
      </c>
      <c r="W44" s="245">
        <v>71.900000000000006</v>
      </c>
      <c r="X44" s="245">
        <v>72.400000000000006</v>
      </c>
      <c r="Y44" s="245">
        <v>72.400000000000006</v>
      </c>
      <c r="Z44" s="245">
        <v>72.400000000000006</v>
      </c>
      <c r="AA44" s="245">
        <v>71.8</v>
      </c>
      <c r="AB44" s="245">
        <v>70.599999999999994</v>
      </c>
      <c r="AC44" s="245">
        <v>70.400000000000006</v>
      </c>
      <c r="AD44" s="245">
        <v>70.400000000000006</v>
      </c>
      <c r="AE44" s="245">
        <v>70.3</v>
      </c>
      <c r="AF44" s="245">
        <v>70.400000000000006</v>
      </c>
      <c r="AG44" s="235">
        <v>70</v>
      </c>
      <c r="AH44" s="226">
        <f t="shared" si="2"/>
        <v>73</v>
      </c>
      <c r="AI44" s="227">
        <f t="shared" si="3"/>
        <v>60</v>
      </c>
      <c r="AK44" s="228"/>
    </row>
    <row r="45" spans="1:88" x14ac:dyDescent="0.25">
      <c r="A45" s="234" t="s">
        <v>53</v>
      </c>
      <c r="B45" s="245">
        <v>64</v>
      </c>
      <c r="C45" s="245">
        <v>63.9</v>
      </c>
      <c r="D45" s="245">
        <v>62</v>
      </c>
      <c r="E45" s="245">
        <v>62</v>
      </c>
      <c r="F45" s="245">
        <v>62</v>
      </c>
      <c r="G45" s="245">
        <v>62</v>
      </c>
      <c r="H45" s="245">
        <v>62</v>
      </c>
      <c r="I45" s="245">
        <v>62</v>
      </c>
      <c r="J45" s="245">
        <v>62</v>
      </c>
      <c r="K45" s="245">
        <v>62</v>
      </c>
      <c r="L45" s="245">
        <v>62</v>
      </c>
      <c r="M45" s="221">
        <v>59.9</v>
      </c>
      <c r="N45" s="221">
        <v>59.9</v>
      </c>
      <c r="O45" s="221">
        <v>59.9</v>
      </c>
      <c r="P45" s="221">
        <v>59.9</v>
      </c>
      <c r="Q45" s="221">
        <v>59.9</v>
      </c>
      <c r="R45" s="221">
        <v>59.9</v>
      </c>
      <c r="S45" s="245">
        <v>63.7</v>
      </c>
      <c r="T45" s="245">
        <v>63.7</v>
      </c>
      <c r="U45" s="245">
        <v>63.7</v>
      </c>
      <c r="V45" s="245">
        <v>64.5</v>
      </c>
      <c r="W45" s="245">
        <v>64.5</v>
      </c>
      <c r="X45" s="245">
        <v>64.099999999999994</v>
      </c>
      <c r="Y45" s="245">
        <v>64.099999999999994</v>
      </c>
      <c r="Z45" s="245">
        <v>64.099999999999994</v>
      </c>
      <c r="AA45" s="245">
        <v>63.6</v>
      </c>
      <c r="AB45" s="245">
        <v>63.7</v>
      </c>
      <c r="AC45" s="245">
        <v>63.9</v>
      </c>
      <c r="AD45" s="245">
        <v>63.9</v>
      </c>
      <c r="AE45" s="245">
        <v>63.6</v>
      </c>
      <c r="AF45" s="245">
        <v>63.5</v>
      </c>
      <c r="AG45" s="235">
        <v>69</v>
      </c>
      <c r="AH45" s="226">
        <f t="shared" si="2"/>
        <v>64.5</v>
      </c>
      <c r="AI45" s="227">
        <f t="shared" si="3"/>
        <v>59.9</v>
      </c>
      <c r="AK45" s="228"/>
    </row>
    <row r="46" spans="1:88" x14ac:dyDescent="0.25">
      <c r="A46" s="234" t="s">
        <v>54</v>
      </c>
      <c r="B46" s="237">
        <v>60.7</v>
      </c>
      <c r="C46" s="237">
        <v>60.7</v>
      </c>
      <c r="D46" s="237">
        <v>60</v>
      </c>
      <c r="E46" s="237">
        <v>60</v>
      </c>
      <c r="F46" s="237">
        <v>60</v>
      </c>
      <c r="G46" s="237">
        <v>60</v>
      </c>
      <c r="H46" s="237">
        <v>60</v>
      </c>
      <c r="I46" s="237">
        <v>60</v>
      </c>
      <c r="J46" s="237">
        <v>60</v>
      </c>
      <c r="K46" s="237">
        <v>60</v>
      </c>
      <c r="L46" s="237">
        <v>60</v>
      </c>
      <c r="M46" s="221">
        <v>61.4</v>
      </c>
      <c r="N46" s="221">
        <v>63</v>
      </c>
      <c r="O46" s="221">
        <v>63</v>
      </c>
      <c r="P46" s="221">
        <v>63</v>
      </c>
      <c r="Q46" s="221">
        <v>63</v>
      </c>
      <c r="R46" s="221">
        <v>63</v>
      </c>
      <c r="S46" s="221">
        <v>61</v>
      </c>
      <c r="T46" s="221">
        <v>61</v>
      </c>
      <c r="U46" s="221">
        <v>61</v>
      </c>
      <c r="V46" s="245">
        <v>61</v>
      </c>
      <c r="W46" s="245">
        <v>61</v>
      </c>
      <c r="X46" s="245">
        <v>61</v>
      </c>
      <c r="Y46" s="245">
        <v>61</v>
      </c>
      <c r="Z46" s="245">
        <v>61</v>
      </c>
      <c r="AA46" s="245">
        <v>61</v>
      </c>
      <c r="AB46" s="237">
        <v>61</v>
      </c>
      <c r="AC46" s="237">
        <v>61</v>
      </c>
      <c r="AD46" s="237">
        <v>61</v>
      </c>
      <c r="AE46" s="237">
        <v>61</v>
      </c>
      <c r="AF46" s="237">
        <v>61</v>
      </c>
      <c r="AG46" s="235">
        <v>60</v>
      </c>
      <c r="AH46" s="226">
        <f t="shared" si="2"/>
        <v>63</v>
      </c>
      <c r="AI46" s="227">
        <f t="shared" si="3"/>
        <v>60</v>
      </c>
      <c r="AK46" s="228"/>
    </row>
    <row r="47" spans="1:88" x14ac:dyDescent="0.25">
      <c r="A47" s="234" t="s">
        <v>55</v>
      </c>
      <c r="B47" s="237">
        <v>28.9</v>
      </c>
      <c r="C47" s="237">
        <v>28.9</v>
      </c>
      <c r="D47" s="237">
        <v>28.9</v>
      </c>
      <c r="E47" s="237">
        <v>28.9</v>
      </c>
      <c r="F47" s="237">
        <v>28.9</v>
      </c>
      <c r="G47" s="237">
        <v>28.9</v>
      </c>
      <c r="H47" s="237">
        <v>28.9</v>
      </c>
      <c r="I47" s="237">
        <v>28.9</v>
      </c>
      <c r="J47" s="237">
        <v>28.9</v>
      </c>
      <c r="K47" s="237">
        <v>28.9</v>
      </c>
      <c r="L47" s="237">
        <v>28.9</v>
      </c>
      <c r="M47" s="221">
        <v>29</v>
      </c>
      <c r="N47" s="221">
        <v>29</v>
      </c>
      <c r="O47" s="221">
        <v>29</v>
      </c>
      <c r="P47" s="221">
        <v>29</v>
      </c>
      <c r="Q47" s="221">
        <v>29</v>
      </c>
      <c r="R47" s="221">
        <v>29</v>
      </c>
      <c r="S47" s="221">
        <v>28.7</v>
      </c>
      <c r="T47" s="221">
        <v>28.7</v>
      </c>
      <c r="U47" s="221">
        <v>28.7</v>
      </c>
      <c r="V47" s="245">
        <v>28.9</v>
      </c>
      <c r="W47" s="245">
        <v>28.9</v>
      </c>
      <c r="X47" s="245">
        <v>28.8</v>
      </c>
      <c r="Y47" s="245">
        <v>28.8</v>
      </c>
      <c r="Z47" s="245">
        <v>28.8</v>
      </c>
      <c r="AA47" s="245">
        <v>29</v>
      </c>
      <c r="AB47" s="237">
        <v>28.8</v>
      </c>
      <c r="AC47" s="237">
        <v>28.7</v>
      </c>
      <c r="AD47" s="237">
        <v>28.8</v>
      </c>
      <c r="AE47" s="237">
        <v>28.8</v>
      </c>
      <c r="AF47" s="237">
        <v>28.8</v>
      </c>
      <c r="AG47" s="235">
        <v>30</v>
      </c>
      <c r="AH47" s="226">
        <f t="shared" si="2"/>
        <v>29</v>
      </c>
      <c r="AI47" s="227">
        <f t="shared" si="3"/>
        <v>28.7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0</v>
      </c>
      <c r="N48" s="221">
        <v>0</v>
      </c>
      <c r="O48" s="221">
        <v>0</v>
      </c>
      <c r="P48" s="221">
        <v>0</v>
      </c>
      <c r="Q48" s="221">
        <v>0</v>
      </c>
      <c r="R48" s="221">
        <v>0</v>
      </c>
      <c r="S48" s="221">
        <v>10</v>
      </c>
      <c r="T48" s="221">
        <v>10</v>
      </c>
      <c r="U48" s="221">
        <v>10</v>
      </c>
      <c r="V48" s="221">
        <v>8</v>
      </c>
      <c r="W48" s="221">
        <v>8</v>
      </c>
      <c r="X48" s="221">
        <v>5</v>
      </c>
      <c r="Y48" s="221">
        <v>5</v>
      </c>
      <c r="Z48" s="221">
        <v>0</v>
      </c>
      <c r="AA48" s="221">
        <v>0</v>
      </c>
      <c r="AB48" s="221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</v>
      </c>
      <c r="C49" s="245">
        <v>17.3</v>
      </c>
      <c r="D49" s="245">
        <v>17.3</v>
      </c>
      <c r="E49" s="245">
        <v>17.3</v>
      </c>
      <c r="F49" s="245">
        <v>17.3</v>
      </c>
      <c r="G49" s="245">
        <v>17.3</v>
      </c>
      <c r="H49" s="245">
        <v>17.3</v>
      </c>
      <c r="I49" s="245">
        <v>17.3</v>
      </c>
      <c r="J49" s="245">
        <v>17.3</v>
      </c>
      <c r="K49" s="245">
        <v>17.3</v>
      </c>
      <c r="L49" s="245">
        <v>17.3</v>
      </c>
      <c r="M49" s="221">
        <v>17.399999999999999</v>
      </c>
      <c r="N49" s="221">
        <v>17.399999999999999</v>
      </c>
      <c r="O49" s="221">
        <v>17.399999999999999</v>
      </c>
      <c r="P49" s="221">
        <v>17.399999999999999</v>
      </c>
      <c r="Q49" s="221">
        <v>17.399999999999999</v>
      </c>
      <c r="R49" s="221">
        <v>17.399999999999999</v>
      </c>
      <c r="S49" s="221">
        <v>17.399999999999999</v>
      </c>
      <c r="T49" s="221">
        <v>17.399999999999999</v>
      </c>
      <c r="U49" s="221">
        <v>17.399999999999999</v>
      </c>
      <c r="V49" s="221">
        <v>17.3</v>
      </c>
      <c r="W49" s="221">
        <v>17.3</v>
      </c>
      <c r="X49" s="221">
        <v>17.3</v>
      </c>
      <c r="Y49" s="221">
        <v>17.3</v>
      </c>
      <c r="Z49" s="221">
        <v>17.3</v>
      </c>
      <c r="AA49" s="221">
        <v>17.2</v>
      </c>
      <c r="AB49" s="221">
        <v>17.2</v>
      </c>
      <c r="AC49" s="245">
        <v>17.2</v>
      </c>
      <c r="AD49" s="245">
        <v>17.2</v>
      </c>
      <c r="AE49" s="245">
        <v>17.5</v>
      </c>
      <c r="AF49" s="245">
        <v>17.5</v>
      </c>
      <c r="AG49" s="235">
        <v>24</v>
      </c>
      <c r="AH49" s="226">
        <f t="shared" si="2"/>
        <v>17.5</v>
      </c>
      <c r="AI49" s="227">
        <f t="shared" si="3"/>
        <v>17.2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12.9</v>
      </c>
      <c r="C51" s="245">
        <v>12.9</v>
      </c>
      <c r="D51" s="245">
        <v>12.9</v>
      </c>
      <c r="E51" s="245">
        <v>12.9</v>
      </c>
      <c r="F51" s="245">
        <v>12.9</v>
      </c>
      <c r="G51" s="245">
        <v>12.9</v>
      </c>
      <c r="H51" s="245">
        <v>12.9</v>
      </c>
      <c r="I51" s="245">
        <v>12.9</v>
      </c>
      <c r="J51" s="245">
        <v>12.9</v>
      </c>
      <c r="K51" s="245">
        <v>12.9</v>
      </c>
      <c r="L51" s="245">
        <v>12.9</v>
      </c>
      <c r="M51" s="221">
        <v>13.2</v>
      </c>
      <c r="N51" s="221">
        <v>13.2</v>
      </c>
      <c r="O51" s="221">
        <v>13.2</v>
      </c>
      <c r="P51" s="221">
        <v>13.2</v>
      </c>
      <c r="Q51" s="221">
        <v>13.2</v>
      </c>
      <c r="R51" s="221">
        <v>13.2</v>
      </c>
      <c r="S51" s="221">
        <v>13.6</v>
      </c>
      <c r="T51" s="221">
        <v>13.6</v>
      </c>
      <c r="U51" s="221">
        <v>13.6</v>
      </c>
      <c r="V51" s="221">
        <v>12.8</v>
      </c>
      <c r="W51" s="221">
        <v>12.8</v>
      </c>
      <c r="X51" s="221">
        <v>12.8</v>
      </c>
      <c r="Y51" s="221">
        <v>12.8</v>
      </c>
      <c r="Z51" s="221">
        <v>12.8</v>
      </c>
      <c r="AA51" s="221">
        <v>11.9</v>
      </c>
      <c r="AB51" s="221">
        <v>11.9</v>
      </c>
      <c r="AC51" s="221">
        <v>13.1</v>
      </c>
      <c r="AD51" s="221">
        <v>13.1</v>
      </c>
      <c r="AE51" s="221">
        <v>13</v>
      </c>
      <c r="AF51" s="221">
        <v>12.9</v>
      </c>
      <c r="AG51" s="235">
        <v>14.1</v>
      </c>
      <c r="AH51" s="226">
        <f t="shared" si="2"/>
        <v>13.6</v>
      </c>
      <c r="AI51" s="227">
        <f t="shared" si="3"/>
        <v>11.9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21">
        <v>14</v>
      </c>
      <c r="N52" s="221">
        <v>14</v>
      </c>
      <c r="O52" s="221">
        <v>14</v>
      </c>
      <c r="P52" s="221">
        <v>14</v>
      </c>
      <c r="Q52" s="221">
        <v>14</v>
      </c>
      <c r="R52" s="221">
        <v>14</v>
      </c>
      <c r="S52" s="221">
        <v>14</v>
      </c>
      <c r="T52" s="221">
        <v>14</v>
      </c>
      <c r="U52" s="221">
        <v>14</v>
      </c>
      <c r="V52" s="221">
        <v>13.8</v>
      </c>
      <c r="W52" s="221">
        <v>13.8</v>
      </c>
      <c r="X52" s="221">
        <v>13.8</v>
      </c>
      <c r="Y52" s="221">
        <v>13.8</v>
      </c>
      <c r="Z52" s="221">
        <v>13.8</v>
      </c>
      <c r="AA52" s="221">
        <v>0</v>
      </c>
      <c r="AB52" s="221">
        <v>14</v>
      </c>
      <c r="AC52" s="221">
        <v>14</v>
      </c>
      <c r="AD52" s="221">
        <v>14</v>
      </c>
      <c r="AE52" s="221">
        <v>5</v>
      </c>
      <c r="AF52" s="221">
        <v>14</v>
      </c>
      <c r="AG52" s="235">
        <v>14</v>
      </c>
      <c r="AH52" s="226">
        <f t="shared" si="2"/>
        <v>14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10</v>
      </c>
      <c r="C53" s="245">
        <v>0</v>
      </c>
      <c r="D53" s="245">
        <v>0</v>
      </c>
      <c r="E53" s="245">
        <v>0</v>
      </c>
      <c r="F53" s="245">
        <v>0</v>
      </c>
      <c r="G53" s="245">
        <v>0</v>
      </c>
      <c r="H53" s="245">
        <v>0</v>
      </c>
      <c r="I53" s="245">
        <v>0</v>
      </c>
      <c r="J53" s="245">
        <v>0</v>
      </c>
      <c r="K53" s="245">
        <v>0</v>
      </c>
      <c r="L53" s="245">
        <v>0</v>
      </c>
      <c r="M53" s="221">
        <v>0</v>
      </c>
      <c r="N53" s="221">
        <v>0</v>
      </c>
      <c r="O53" s="221">
        <v>0</v>
      </c>
      <c r="P53" s="221">
        <v>0</v>
      </c>
      <c r="Q53" s="221">
        <v>0</v>
      </c>
      <c r="R53" s="221">
        <v>0</v>
      </c>
      <c r="S53" s="221">
        <v>9.1999999999999993</v>
      </c>
      <c r="T53" s="221">
        <v>9.1999999999999993</v>
      </c>
      <c r="U53" s="221">
        <v>9.1999999999999993</v>
      </c>
      <c r="V53" s="221">
        <v>9.1999999999999993</v>
      </c>
      <c r="W53" s="221">
        <v>9.1999999999999993</v>
      </c>
      <c r="X53" s="221">
        <v>9.1999999999999993</v>
      </c>
      <c r="Y53" s="221">
        <v>9.1999999999999993</v>
      </c>
      <c r="Z53" s="221">
        <v>9.1999999999999993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435.53999999999996</v>
      </c>
      <c r="C56" s="241">
        <f t="shared" ref="C56:AG56" si="8">SUM(C43:C55)</f>
        <v>422.84</v>
      </c>
      <c r="D56" s="241">
        <f t="shared" si="8"/>
        <v>415.64</v>
      </c>
      <c r="E56" s="241">
        <f t="shared" si="8"/>
        <v>419.64</v>
      </c>
      <c r="F56" s="241">
        <f t="shared" si="8"/>
        <v>419.64</v>
      </c>
      <c r="G56" s="241">
        <f t="shared" si="8"/>
        <v>419.64</v>
      </c>
      <c r="H56" s="241">
        <f t="shared" si="8"/>
        <v>419.64</v>
      </c>
      <c r="I56" s="241">
        <f t="shared" si="8"/>
        <v>419.64</v>
      </c>
      <c r="J56" s="241">
        <f t="shared" si="8"/>
        <v>397.84</v>
      </c>
      <c r="K56" s="241">
        <f t="shared" si="8"/>
        <v>397.84</v>
      </c>
      <c r="L56" s="241">
        <f t="shared" si="8"/>
        <v>419.64</v>
      </c>
      <c r="M56" s="241">
        <f t="shared" si="8"/>
        <v>413.93999999999994</v>
      </c>
      <c r="N56" s="241">
        <f t="shared" si="8"/>
        <v>420.84</v>
      </c>
      <c r="O56" s="241">
        <f t="shared" si="8"/>
        <v>420.84</v>
      </c>
      <c r="P56" s="241">
        <f t="shared" si="8"/>
        <v>420.84</v>
      </c>
      <c r="Q56" s="241">
        <f t="shared" si="8"/>
        <v>420.84</v>
      </c>
      <c r="R56" s="241">
        <f t="shared" si="8"/>
        <v>420.84</v>
      </c>
      <c r="S56" s="241">
        <f t="shared" si="8"/>
        <v>441.74</v>
      </c>
      <c r="T56" s="241">
        <f t="shared" si="8"/>
        <v>441.74</v>
      </c>
      <c r="U56" s="241">
        <f t="shared" si="8"/>
        <v>441.74</v>
      </c>
      <c r="V56" s="241">
        <f t="shared" si="8"/>
        <v>439.54</v>
      </c>
      <c r="W56" s="241">
        <f t="shared" si="8"/>
        <v>439.54</v>
      </c>
      <c r="X56" s="241">
        <f t="shared" si="8"/>
        <v>437.14000000000004</v>
      </c>
      <c r="Y56" s="241">
        <f t="shared" si="8"/>
        <v>437.14000000000004</v>
      </c>
      <c r="Z56" s="241">
        <f t="shared" si="8"/>
        <v>432.14000000000004</v>
      </c>
      <c r="AA56" s="241">
        <f t="shared" si="8"/>
        <v>418.44</v>
      </c>
      <c r="AB56" s="241">
        <f t="shared" si="8"/>
        <v>430.64</v>
      </c>
      <c r="AC56" s="241">
        <f t="shared" si="8"/>
        <v>432.14</v>
      </c>
      <c r="AD56" s="241">
        <f t="shared" si="8"/>
        <v>432.24</v>
      </c>
      <c r="AE56" s="241">
        <f t="shared" si="8"/>
        <v>421.74000000000007</v>
      </c>
      <c r="AF56" s="241">
        <f t="shared" si="8"/>
        <v>430.34</v>
      </c>
      <c r="AG56" s="242">
        <f t="shared" si="8"/>
        <v>489.91</v>
      </c>
      <c r="AH56" s="226">
        <f t="shared" si="2"/>
        <v>441.74</v>
      </c>
      <c r="AI56" s="227">
        <f t="shared" si="3"/>
        <v>397.84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29.6</v>
      </c>
      <c r="AA57" s="221">
        <v>42.5</v>
      </c>
      <c r="AB57" s="221">
        <v>60</v>
      </c>
      <c r="AC57" s="221">
        <v>40</v>
      </c>
      <c r="AD57" s="221">
        <v>40</v>
      </c>
      <c r="AE57" s="221">
        <v>11.5</v>
      </c>
      <c r="AF57" s="221">
        <v>0</v>
      </c>
      <c r="AG57" s="230">
        <v>60</v>
      </c>
      <c r="AH57" s="226">
        <f t="shared" si="2"/>
        <v>60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4.5999999999999996</v>
      </c>
      <c r="AA58" s="245">
        <v>18.2</v>
      </c>
      <c r="AB58" s="245">
        <v>28.7</v>
      </c>
      <c r="AC58" s="245">
        <v>17.3</v>
      </c>
      <c r="AD58" s="245">
        <v>19.3</v>
      </c>
      <c r="AE58" s="245">
        <v>9.4</v>
      </c>
      <c r="AF58" s="245">
        <v>0</v>
      </c>
      <c r="AG58" s="235">
        <v>32</v>
      </c>
      <c r="AH58" s="226">
        <f t="shared" si="2"/>
        <v>28.7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1.7</v>
      </c>
      <c r="AA59" s="247">
        <v>6.6</v>
      </c>
      <c r="AB59" s="247">
        <v>10.5</v>
      </c>
      <c r="AC59" s="247">
        <v>6.3</v>
      </c>
      <c r="AD59" s="247">
        <v>7.1</v>
      </c>
      <c r="AE59" s="247">
        <v>3.4</v>
      </c>
      <c r="AF59" s="247">
        <v>0</v>
      </c>
      <c r="AG59" s="248">
        <v>14</v>
      </c>
      <c r="AH59" s="226">
        <f t="shared" si="2"/>
        <v>10.5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9">SUM(C57:C59)</f>
        <v>0</v>
      </c>
      <c r="D60" s="241">
        <f t="shared" si="9"/>
        <v>0</v>
      </c>
      <c r="E60" s="241">
        <f t="shared" si="9"/>
        <v>0</v>
      </c>
      <c r="F60" s="241">
        <f t="shared" si="9"/>
        <v>0</v>
      </c>
      <c r="G60" s="241">
        <f t="shared" si="9"/>
        <v>0</v>
      </c>
      <c r="H60" s="241">
        <f t="shared" si="9"/>
        <v>0</v>
      </c>
      <c r="I60" s="241">
        <f t="shared" si="9"/>
        <v>0</v>
      </c>
      <c r="J60" s="241">
        <f t="shared" si="9"/>
        <v>0</v>
      </c>
      <c r="K60" s="241">
        <f t="shared" si="9"/>
        <v>0</v>
      </c>
      <c r="L60" s="241">
        <f t="shared" si="9"/>
        <v>0</v>
      </c>
      <c r="M60" s="241">
        <f t="shared" si="9"/>
        <v>0</v>
      </c>
      <c r="N60" s="241">
        <f t="shared" si="9"/>
        <v>0</v>
      </c>
      <c r="O60" s="241">
        <f t="shared" si="9"/>
        <v>0</v>
      </c>
      <c r="P60" s="241">
        <f t="shared" si="9"/>
        <v>0</v>
      </c>
      <c r="Q60" s="241">
        <f t="shared" si="9"/>
        <v>0</v>
      </c>
      <c r="R60" s="241">
        <f t="shared" si="9"/>
        <v>0</v>
      </c>
      <c r="S60" s="241">
        <f t="shared" si="9"/>
        <v>0</v>
      </c>
      <c r="T60" s="241">
        <f t="shared" si="9"/>
        <v>0</v>
      </c>
      <c r="U60" s="241">
        <f t="shared" si="9"/>
        <v>0</v>
      </c>
      <c r="V60" s="241">
        <f t="shared" si="9"/>
        <v>0</v>
      </c>
      <c r="W60" s="241">
        <f t="shared" si="9"/>
        <v>0</v>
      </c>
      <c r="X60" s="241">
        <f t="shared" si="9"/>
        <v>0</v>
      </c>
      <c r="Y60" s="241">
        <f t="shared" si="9"/>
        <v>0</v>
      </c>
      <c r="Z60" s="241">
        <f t="shared" si="9"/>
        <v>35.900000000000006</v>
      </c>
      <c r="AA60" s="241">
        <f t="shared" si="9"/>
        <v>67.3</v>
      </c>
      <c r="AB60" s="241">
        <f t="shared" si="9"/>
        <v>99.2</v>
      </c>
      <c r="AC60" s="241">
        <f t="shared" si="9"/>
        <v>63.599999999999994</v>
      </c>
      <c r="AD60" s="241">
        <f t="shared" si="9"/>
        <v>66.399999999999991</v>
      </c>
      <c r="AE60" s="241">
        <f t="shared" si="9"/>
        <v>24.299999999999997</v>
      </c>
      <c r="AF60" s="241">
        <f t="shared" si="9"/>
        <v>0</v>
      </c>
      <c r="AG60" s="242">
        <f t="shared" si="9"/>
        <v>106</v>
      </c>
      <c r="AH60" s="226">
        <f t="shared" si="2"/>
        <v>99.2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40</v>
      </c>
      <c r="N61" s="221">
        <v>15</v>
      </c>
      <c r="O61" s="221">
        <v>40</v>
      </c>
      <c r="P61" s="221">
        <v>20</v>
      </c>
      <c r="Q61" s="221">
        <v>26</v>
      </c>
      <c r="R61" s="221">
        <v>29</v>
      </c>
      <c r="S61" s="221">
        <v>1.8</v>
      </c>
      <c r="T61" s="221">
        <v>30</v>
      </c>
      <c r="U61" s="221">
        <v>21.3</v>
      </c>
      <c r="V61" s="221">
        <v>17.899999999999999</v>
      </c>
      <c r="W61" s="221">
        <v>13</v>
      </c>
      <c r="X61" s="221">
        <v>13.7</v>
      </c>
      <c r="Y61" s="221">
        <v>11.1</v>
      </c>
      <c r="Z61" s="221">
        <v>40.200000000000003</v>
      </c>
      <c r="AA61" s="221">
        <v>56.4</v>
      </c>
      <c r="AB61" s="221">
        <v>55.6</v>
      </c>
      <c r="AC61" s="221">
        <v>59.6</v>
      </c>
      <c r="AD61" s="221">
        <v>59.8</v>
      </c>
      <c r="AE61" s="221">
        <v>53.6</v>
      </c>
      <c r="AF61" s="221">
        <v>29</v>
      </c>
      <c r="AG61" s="230"/>
      <c r="AH61" s="226">
        <f t="shared" si="2"/>
        <v>59.8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-350</v>
      </c>
      <c r="C63" s="245">
        <v>-408</v>
      </c>
      <c r="D63" s="245">
        <v>-390</v>
      </c>
      <c r="E63" s="245">
        <v>-410</v>
      </c>
      <c r="F63" s="245">
        <v>-412</v>
      </c>
      <c r="G63" s="245">
        <v>-420</v>
      </c>
      <c r="H63" s="245">
        <v>-408</v>
      </c>
      <c r="I63" s="245">
        <v>-412</v>
      </c>
      <c r="J63" s="245">
        <v>-420</v>
      </c>
      <c r="K63" s="245">
        <v>-380</v>
      </c>
      <c r="L63" s="245">
        <v>-390</v>
      </c>
      <c r="M63" s="245">
        <v>-365</v>
      </c>
      <c r="N63" s="245">
        <v>-378</v>
      </c>
      <c r="O63" s="245">
        <v>-378</v>
      </c>
      <c r="P63" s="245">
        <v>-378</v>
      </c>
      <c r="Q63" s="245">
        <v>-378</v>
      </c>
      <c r="R63" s="245">
        <v>-378</v>
      </c>
      <c r="S63" s="245">
        <v>-363.8</v>
      </c>
      <c r="T63" s="245">
        <v>-378.1</v>
      </c>
      <c r="U63" s="245">
        <v>-400.7</v>
      </c>
      <c r="V63" s="245">
        <v>-402.1</v>
      </c>
      <c r="W63" s="245">
        <v>-398.4</v>
      </c>
      <c r="X63" s="245">
        <v>-376.9</v>
      </c>
      <c r="Y63" s="245">
        <v>-301.2</v>
      </c>
      <c r="Z63" s="245">
        <v>-255.5</v>
      </c>
      <c r="AA63" s="245">
        <v>-296.5</v>
      </c>
      <c r="AB63" s="245">
        <v>-318.3</v>
      </c>
      <c r="AC63" s="245">
        <v>-302</v>
      </c>
      <c r="AD63" s="245">
        <v>-320.2</v>
      </c>
      <c r="AE63" s="245">
        <v>-363.2</v>
      </c>
      <c r="AF63" s="245">
        <v>-360.8</v>
      </c>
      <c r="AG63" s="255"/>
      <c r="AH63" s="226">
        <f t="shared" si="2"/>
        <v>-255.5</v>
      </c>
      <c r="AI63" s="227">
        <f t="shared" si="3"/>
        <v>-420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12</v>
      </c>
      <c r="O64" s="256">
        <v>12</v>
      </c>
      <c r="P64" s="256">
        <v>12</v>
      </c>
      <c r="Q64" s="256">
        <v>12</v>
      </c>
      <c r="R64" s="256">
        <v>12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12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56">
        <v>0</v>
      </c>
      <c r="E65" s="256">
        <v>0</v>
      </c>
      <c r="F65" s="256">
        <v>0</v>
      </c>
      <c r="G65" s="256">
        <v>0</v>
      </c>
      <c r="H65" s="256">
        <v>0</v>
      </c>
      <c r="I65" s="256">
        <v>0</v>
      </c>
      <c r="J65" s="256">
        <v>0</v>
      </c>
      <c r="K65" s="256">
        <v>0</v>
      </c>
      <c r="L65" s="256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6">
        <v>0</v>
      </c>
      <c r="E66" s="256">
        <v>0</v>
      </c>
      <c r="F66" s="256">
        <v>0</v>
      </c>
      <c r="G66" s="256">
        <v>0</v>
      </c>
      <c r="H66" s="256">
        <v>0</v>
      </c>
      <c r="I66" s="256">
        <v>0</v>
      </c>
      <c r="J66" s="256">
        <v>0</v>
      </c>
      <c r="K66" s="256">
        <v>0</v>
      </c>
      <c r="L66" s="256">
        <v>0</v>
      </c>
      <c r="M66" s="257">
        <v>0</v>
      </c>
      <c r="N66" s="257">
        <v>0</v>
      </c>
      <c r="O66" s="257">
        <v>0</v>
      </c>
      <c r="P66" s="257">
        <v>5</v>
      </c>
      <c r="Q66" s="257">
        <v>5</v>
      </c>
      <c r="R66" s="257">
        <v>5</v>
      </c>
      <c r="S66" s="257">
        <v>5</v>
      </c>
      <c r="T66" s="257">
        <v>5</v>
      </c>
      <c r="U66" s="257">
        <v>5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6">
        <v>0</v>
      </c>
      <c r="E67" s="256">
        <v>0</v>
      </c>
      <c r="F67" s="256">
        <v>0</v>
      </c>
      <c r="G67" s="256">
        <v>0</v>
      </c>
      <c r="H67" s="256">
        <v>0</v>
      </c>
      <c r="I67" s="256">
        <v>0</v>
      </c>
      <c r="J67" s="256">
        <v>0</v>
      </c>
      <c r="K67" s="256">
        <v>0</v>
      </c>
      <c r="L67" s="256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6">
        <v>0</v>
      </c>
      <c r="E70" s="256">
        <v>0</v>
      </c>
      <c r="F70" s="256">
        <v>0</v>
      </c>
      <c r="G70" s="256">
        <v>0</v>
      </c>
      <c r="H70" s="256">
        <v>0</v>
      </c>
      <c r="I70" s="256">
        <v>0</v>
      </c>
      <c r="J70" s="256">
        <v>0</v>
      </c>
      <c r="K70" s="256">
        <v>0</v>
      </c>
      <c r="L70" s="256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6">
        <v>0</v>
      </c>
      <c r="E71" s="256">
        <v>0</v>
      </c>
      <c r="F71" s="256">
        <v>0</v>
      </c>
      <c r="G71" s="256">
        <v>0</v>
      </c>
      <c r="H71" s="256">
        <v>0</v>
      </c>
      <c r="I71" s="256">
        <v>0</v>
      </c>
      <c r="J71" s="256">
        <v>0</v>
      </c>
      <c r="K71" s="256">
        <v>0</v>
      </c>
      <c r="L71" s="256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10">SUMIF(C61:C71,"&gt;0")</f>
        <v>0</v>
      </c>
      <c r="D72" s="241">
        <f t="shared" si="10"/>
        <v>0</v>
      </c>
      <c r="E72" s="241">
        <f t="shared" si="10"/>
        <v>0</v>
      </c>
      <c r="F72" s="241">
        <f t="shared" si="10"/>
        <v>0</v>
      </c>
      <c r="G72" s="241">
        <f t="shared" si="10"/>
        <v>0</v>
      </c>
      <c r="H72" s="241">
        <f t="shared" si="10"/>
        <v>0</v>
      </c>
      <c r="I72" s="241">
        <f t="shared" si="10"/>
        <v>0</v>
      </c>
      <c r="J72" s="241">
        <f t="shared" si="10"/>
        <v>0</v>
      </c>
      <c r="K72" s="241">
        <f t="shared" si="10"/>
        <v>0</v>
      </c>
      <c r="L72" s="241">
        <f t="shared" si="10"/>
        <v>0</v>
      </c>
      <c r="M72" s="241">
        <f>SUMIF(M61:M71,"&gt;0")</f>
        <v>40</v>
      </c>
      <c r="N72" s="241">
        <f t="shared" ref="N72:AF72" si="11">SUMIF(N61:N71,"&gt;0")</f>
        <v>27</v>
      </c>
      <c r="O72" s="241">
        <f t="shared" si="11"/>
        <v>52</v>
      </c>
      <c r="P72" s="241">
        <f t="shared" si="11"/>
        <v>37</v>
      </c>
      <c r="Q72" s="241">
        <f t="shared" si="11"/>
        <v>43</v>
      </c>
      <c r="R72" s="241">
        <f t="shared" si="11"/>
        <v>46</v>
      </c>
      <c r="S72" s="241">
        <f t="shared" si="11"/>
        <v>6.8</v>
      </c>
      <c r="T72" s="241">
        <f t="shared" si="11"/>
        <v>35</v>
      </c>
      <c r="U72" s="241">
        <f t="shared" si="11"/>
        <v>26.3</v>
      </c>
      <c r="V72" s="241">
        <f t="shared" si="11"/>
        <v>17.899999999999999</v>
      </c>
      <c r="W72" s="241">
        <f t="shared" si="11"/>
        <v>13</v>
      </c>
      <c r="X72" s="241">
        <f t="shared" si="11"/>
        <v>13.7</v>
      </c>
      <c r="Y72" s="241">
        <f t="shared" si="11"/>
        <v>11.1</v>
      </c>
      <c r="Z72" s="241">
        <f t="shared" si="11"/>
        <v>40.200000000000003</v>
      </c>
      <c r="AA72" s="241">
        <f t="shared" si="11"/>
        <v>56.4</v>
      </c>
      <c r="AB72" s="241">
        <f t="shared" si="11"/>
        <v>55.6</v>
      </c>
      <c r="AC72" s="241">
        <f t="shared" si="11"/>
        <v>59.6</v>
      </c>
      <c r="AD72" s="241">
        <f t="shared" si="11"/>
        <v>59.8</v>
      </c>
      <c r="AE72" s="241">
        <f t="shared" si="11"/>
        <v>53.6</v>
      </c>
      <c r="AF72" s="241">
        <f t="shared" si="11"/>
        <v>29</v>
      </c>
      <c r="AG72" s="261">
        <f>SUM(AG61:AG71)</f>
        <v>0</v>
      </c>
      <c r="AH72" s="226">
        <f t="shared" si="2"/>
        <v>59.8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1762.6399999999999</v>
      </c>
      <c r="C77" s="263">
        <f t="shared" ref="C77:AF77" si="12">C38+C42+C60+C56+C72+C76</f>
        <v>1748.9399999999998</v>
      </c>
      <c r="D77" s="263">
        <f t="shared" si="12"/>
        <v>1712.6399999999999</v>
      </c>
      <c r="E77" s="263">
        <f t="shared" si="12"/>
        <v>1716.6399999999999</v>
      </c>
      <c r="F77" s="263">
        <f t="shared" si="12"/>
        <v>1716.6399999999999</v>
      </c>
      <c r="G77" s="263">
        <f t="shared" si="12"/>
        <v>1716.6399999999999</v>
      </c>
      <c r="H77" s="263">
        <f t="shared" si="12"/>
        <v>1716.6399999999999</v>
      </c>
      <c r="I77" s="263">
        <f t="shared" si="12"/>
        <v>1716.6399999999999</v>
      </c>
      <c r="J77" s="263">
        <f t="shared" si="12"/>
        <v>1694.84</v>
      </c>
      <c r="K77" s="263">
        <f t="shared" si="12"/>
        <v>1694.84</v>
      </c>
      <c r="L77" s="263">
        <f t="shared" si="12"/>
        <v>1716.6399999999999</v>
      </c>
      <c r="M77" s="263">
        <f t="shared" si="12"/>
        <v>1755.7399999999998</v>
      </c>
      <c r="N77" s="263">
        <f t="shared" si="12"/>
        <v>1714.6399999999999</v>
      </c>
      <c r="O77" s="263">
        <f t="shared" si="12"/>
        <v>1739.6399999999999</v>
      </c>
      <c r="P77" s="263">
        <f t="shared" si="12"/>
        <v>1744.6399999999999</v>
      </c>
      <c r="Q77" s="263">
        <f t="shared" si="12"/>
        <v>1795.6399999999999</v>
      </c>
      <c r="R77" s="263">
        <f t="shared" si="12"/>
        <v>1803.6399999999999</v>
      </c>
      <c r="S77" s="263">
        <f t="shared" si="12"/>
        <v>1795.34</v>
      </c>
      <c r="T77" s="263">
        <f t="shared" si="12"/>
        <v>1822.74</v>
      </c>
      <c r="U77" s="263">
        <f t="shared" si="12"/>
        <v>1844.04</v>
      </c>
      <c r="V77" s="263">
        <f t="shared" si="12"/>
        <v>1810.74</v>
      </c>
      <c r="W77" s="263">
        <f t="shared" si="12"/>
        <v>1805.84</v>
      </c>
      <c r="X77" s="263">
        <f t="shared" si="12"/>
        <v>1804.14</v>
      </c>
      <c r="Y77" s="263">
        <f t="shared" si="12"/>
        <v>1801.54</v>
      </c>
      <c r="Z77" s="263">
        <f t="shared" si="12"/>
        <v>1866.7400000000002</v>
      </c>
      <c r="AA77" s="263">
        <f t="shared" si="12"/>
        <v>1835.5400000000002</v>
      </c>
      <c r="AB77" s="263">
        <f t="shared" si="12"/>
        <v>1874.54</v>
      </c>
      <c r="AC77" s="263">
        <f t="shared" si="12"/>
        <v>1844.2399999999998</v>
      </c>
      <c r="AD77" s="263">
        <f t="shared" si="12"/>
        <v>1847.44</v>
      </c>
      <c r="AE77" s="263">
        <f t="shared" si="12"/>
        <v>1788.6399999999999</v>
      </c>
      <c r="AF77" s="263">
        <f t="shared" si="12"/>
        <v>1743.34</v>
      </c>
      <c r="AG77" s="242">
        <f>AG38+AG42+AG60+AG56+AG72+AG76</f>
        <v>1855.1900000000003</v>
      </c>
      <c r="AH77" s="226">
        <f t="shared" si="2"/>
        <v>1874.54</v>
      </c>
      <c r="AI77" s="227">
        <f t="shared" si="3"/>
        <v>1694.84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>
        <v>40</v>
      </c>
      <c r="AB78" s="265"/>
      <c r="AC78" s="265"/>
      <c r="AD78" s="265"/>
      <c r="AE78" s="265"/>
      <c r="AF78" s="265"/>
      <c r="AG78" s="261"/>
      <c r="AH78" s="226">
        <f t="shared" si="2"/>
        <v>40</v>
      </c>
      <c r="AI78" s="227">
        <f t="shared" si="3"/>
        <v>40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1762.6399999999999</v>
      </c>
      <c r="C79" s="263">
        <f t="shared" ref="C79:AF79" si="13">C77+C78</f>
        <v>1748.9399999999998</v>
      </c>
      <c r="D79" s="263">
        <f t="shared" si="13"/>
        <v>1712.6399999999999</v>
      </c>
      <c r="E79" s="263">
        <f t="shared" si="13"/>
        <v>1716.6399999999999</v>
      </c>
      <c r="F79" s="263">
        <f t="shared" si="13"/>
        <v>1716.6399999999999</v>
      </c>
      <c r="G79" s="263">
        <f t="shared" si="13"/>
        <v>1716.6399999999999</v>
      </c>
      <c r="H79" s="263">
        <f t="shared" si="13"/>
        <v>1716.6399999999999</v>
      </c>
      <c r="I79" s="263">
        <f t="shared" si="13"/>
        <v>1716.6399999999999</v>
      </c>
      <c r="J79" s="263">
        <f t="shared" si="13"/>
        <v>1694.84</v>
      </c>
      <c r="K79" s="263">
        <f t="shared" si="13"/>
        <v>1694.84</v>
      </c>
      <c r="L79" s="263">
        <f t="shared" si="13"/>
        <v>1716.6399999999999</v>
      </c>
      <c r="M79" s="263">
        <f t="shared" si="13"/>
        <v>1755.7399999999998</v>
      </c>
      <c r="N79" s="263">
        <f t="shared" si="13"/>
        <v>1714.6399999999999</v>
      </c>
      <c r="O79" s="263">
        <f t="shared" si="13"/>
        <v>1739.6399999999999</v>
      </c>
      <c r="P79" s="263">
        <f t="shared" si="13"/>
        <v>1744.6399999999999</v>
      </c>
      <c r="Q79" s="263">
        <f t="shared" si="13"/>
        <v>1795.6399999999999</v>
      </c>
      <c r="R79" s="263">
        <f t="shared" si="13"/>
        <v>1803.6399999999999</v>
      </c>
      <c r="S79" s="263">
        <f t="shared" si="13"/>
        <v>1795.34</v>
      </c>
      <c r="T79" s="263">
        <f t="shared" si="13"/>
        <v>1822.74</v>
      </c>
      <c r="U79" s="263">
        <f t="shared" si="13"/>
        <v>1844.04</v>
      </c>
      <c r="V79" s="263">
        <f t="shared" si="13"/>
        <v>1810.74</v>
      </c>
      <c r="W79" s="263">
        <f t="shared" si="13"/>
        <v>1805.84</v>
      </c>
      <c r="X79" s="263">
        <f t="shared" si="13"/>
        <v>1804.14</v>
      </c>
      <c r="Y79" s="263">
        <f t="shared" si="13"/>
        <v>1801.54</v>
      </c>
      <c r="Z79" s="263">
        <f t="shared" si="13"/>
        <v>1866.7400000000002</v>
      </c>
      <c r="AA79" s="263">
        <f t="shared" si="13"/>
        <v>1875.5400000000002</v>
      </c>
      <c r="AB79" s="263">
        <f t="shared" si="13"/>
        <v>1874.54</v>
      </c>
      <c r="AC79" s="263">
        <f t="shared" si="13"/>
        <v>1844.2399999999998</v>
      </c>
      <c r="AD79" s="263">
        <f t="shared" si="13"/>
        <v>1847.44</v>
      </c>
      <c r="AE79" s="263">
        <f t="shared" si="13"/>
        <v>1788.6399999999999</v>
      </c>
      <c r="AF79" s="263">
        <f t="shared" si="13"/>
        <v>1743.34</v>
      </c>
      <c r="AG79" s="261">
        <f>AG76+AG72+AG60+AG56+AG38+AG78</f>
        <v>1317.0900000000001</v>
      </c>
      <c r="AH79" s="226">
        <f t="shared" si="2"/>
        <v>1875.5400000000002</v>
      </c>
      <c r="AI79" s="227">
        <f t="shared" si="3"/>
        <v>1694.84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4">B79-B87</f>
        <v>1412.6399999999999</v>
      </c>
      <c r="C80" s="263">
        <f t="shared" si="14"/>
        <v>1340.9399999999998</v>
      </c>
      <c r="D80" s="263">
        <f t="shared" si="14"/>
        <v>1322.6399999999999</v>
      </c>
      <c r="E80" s="263">
        <f t="shared" si="14"/>
        <v>1306.6399999999999</v>
      </c>
      <c r="F80" s="263">
        <f t="shared" si="14"/>
        <v>1304.6399999999999</v>
      </c>
      <c r="G80" s="263">
        <f t="shared" si="14"/>
        <v>1296.6399999999999</v>
      </c>
      <c r="H80" s="263">
        <f t="shared" si="14"/>
        <v>1308.6399999999999</v>
      </c>
      <c r="I80" s="263">
        <f t="shared" si="14"/>
        <v>1304.6399999999999</v>
      </c>
      <c r="J80" s="263">
        <f t="shared" si="14"/>
        <v>1274.8399999999999</v>
      </c>
      <c r="K80" s="263">
        <f t="shared" si="14"/>
        <v>1314.84</v>
      </c>
      <c r="L80" s="263">
        <f t="shared" si="14"/>
        <v>1326.6399999999999</v>
      </c>
      <c r="M80" s="263">
        <f t="shared" si="14"/>
        <v>1390.7399999999998</v>
      </c>
      <c r="N80" s="263">
        <f t="shared" si="14"/>
        <v>1336.6399999999999</v>
      </c>
      <c r="O80" s="263">
        <f t="shared" si="14"/>
        <v>1361.6399999999999</v>
      </c>
      <c r="P80" s="263">
        <f t="shared" si="14"/>
        <v>1366.6399999999999</v>
      </c>
      <c r="Q80" s="263">
        <f t="shared" si="14"/>
        <v>1417.6399999999999</v>
      </c>
      <c r="R80" s="263">
        <f t="shared" si="14"/>
        <v>1425.6399999999999</v>
      </c>
      <c r="S80" s="263">
        <f t="shared" si="14"/>
        <v>1431.54</v>
      </c>
      <c r="T80" s="263">
        <f t="shared" si="14"/>
        <v>1444.6399999999999</v>
      </c>
      <c r="U80" s="263">
        <f t="shared" si="14"/>
        <v>1443.34</v>
      </c>
      <c r="V80" s="263">
        <f t="shared" si="14"/>
        <v>1408.6399999999999</v>
      </c>
      <c r="W80" s="263">
        <f t="shared" si="14"/>
        <v>1407.44</v>
      </c>
      <c r="X80" s="263">
        <f t="shared" si="14"/>
        <v>1427.2400000000002</v>
      </c>
      <c r="Y80" s="263">
        <f t="shared" si="14"/>
        <v>1500.34</v>
      </c>
      <c r="Z80" s="263">
        <f t="shared" si="14"/>
        <v>1611.2400000000002</v>
      </c>
      <c r="AA80" s="263">
        <f t="shared" si="14"/>
        <v>1579.0400000000002</v>
      </c>
      <c r="AB80" s="263">
        <f t="shared" si="14"/>
        <v>1556.24</v>
      </c>
      <c r="AC80" s="263">
        <f t="shared" si="14"/>
        <v>1542.2399999999998</v>
      </c>
      <c r="AD80" s="263">
        <f t="shared" si="14"/>
        <v>1527.24</v>
      </c>
      <c r="AE80" s="263">
        <f t="shared" si="14"/>
        <v>1425.4399999999998</v>
      </c>
      <c r="AF80" s="263">
        <f t="shared" si="14"/>
        <v>1382.54</v>
      </c>
      <c r="AG80" s="261"/>
      <c r="AH80" s="226">
        <f t="shared" ref="AH80:AH97" si="15">MAX(B80:AF80)</f>
        <v>1611.2400000000002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6">IF(C64&lt;0,C64*-1,0)</f>
        <v>0</v>
      </c>
      <c r="D81" s="256">
        <f t="shared" si="16"/>
        <v>0</v>
      </c>
      <c r="E81" s="256">
        <f t="shared" si="16"/>
        <v>0</v>
      </c>
      <c r="F81" s="256">
        <f t="shared" si="16"/>
        <v>0</v>
      </c>
      <c r="G81" s="256">
        <f t="shared" si="16"/>
        <v>0</v>
      </c>
      <c r="H81" s="256">
        <f t="shared" si="16"/>
        <v>0</v>
      </c>
      <c r="I81" s="256">
        <f t="shared" si="16"/>
        <v>0</v>
      </c>
      <c r="J81" s="256">
        <f t="shared" si="16"/>
        <v>0</v>
      </c>
      <c r="K81" s="256">
        <f t="shared" si="16"/>
        <v>0</v>
      </c>
      <c r="L81" s="256">
        <f t="shared" si="16"/>
        <v>0</v>
      </c>
      <c r="M81" s="256">
        <f t="shared" si="16"/>
        <v>0</v>
      </c>
      <c r="N81" s="256">
        <f t="shared" si="16"/>
        <v>0</v>
      </c>
      <c r="O81" s="256">
        <f t="shared" si="16"/>
        <v>0</v>
      </c>
      <c r="P81" s="256">
        <f t="shared" si="16"/>
        <v>0</v>
      </c>
      <c r="Q81" s="256">
        <f t="shared" si="16"/>
        <v>0</v>
      </c>
      <c r="R81" s="256">
        <f t="shared" si="16"/>
        <v>0</v>
      </c>
      <c r="S81" s="256">
        <f t="shared" si="16"/>
        <v>0</v>
      </c>
      <c r="T81" s="256">
        <f t="shared" si="16"/>
        <v>0</v>
      </c>
      <c r="U81" s="256">
        <f t="shared" si="16"/>
        <v>0</v>
      </c>
      <c r="V81" s="256">
        <f t="shared" si="16"/>
        <v>0</v>
      </c>
      <c r="W81" s="256">
        <f t="shared" si="16"/>
        <v>0</v>
      </c>
      <c r="X81" s="256">
        <f t="shared" si="16"/>
        <v>0</v>
      </c>
      <c r="Y81" s="256">
        <f t="shared" si="16"/>
        <v>0</v>
      </c>
      <c r="Z81" s="256">
        <f t="shared" si="16"/>
        <v>0</v>
      </c>
      <c r="AA81" s="256">
        <f t="shared" si="16"/>
        <v>0</v>
      </c>
      <c r="AB81" s="256">
        <f t="shared" si="16"/>
        <v>0</v>
      </c>
      <c r="AC81" s="256">
        <f t="shared" si="16"/>
        <v>0</v>
      </c>
      <c r="AD81" s="256">
        <f t="shared" si="16"/>
        <v>0</v>
      </c>
      <c r="AE81" s="256">
        <f t="shared" si="16"/>
        <v>0</v>
      </c>
      <c r="AF81" s="256">
        <f t="shared" si="16"/>
        <v>0</v>
      </c>
      <c r="AG81" s="230"/>
      <c r="AH81" s="226">
        <f t="shared" si="15"/>
        <v>0</v>
      </c>
      <c r="AI81" s="227">
        <f t="shared" ref="AI81:AI97" si="17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8">IF(C62&lt;0,C62*-1,0)</f>
        <v>0</v>
      </c>
      <c r="D82" s="256">
        <f t="shared" si="18"/>
        <v>0</v>
      </c>
      <c r="E82" s="256">
        <f t="shared" si="18"/>
        <v>0</v>
      </c>
      <c r="F82" s="256">
        <f t="shared" si="18"/>
        <v>0</v>
      </c>
      <c r="G82" s="256">
        <f t="shared" si="18"/>
        <v>0</v>
      </c>
      <c r="H82" s="256">
        <f t="shared" si="18"/>
        <v>0</v>
      </c>
      <c r="I82" s="256">
        <f t="shared" si="18"/>
        <v>0</v>
      </c>
      <c r="J82" s="256">
        <f t="shared" si="18"/>
        <v>0</v>
      </c>
      <c r="K82" s="256">
        <f t="shared" si="18"/>
        <v>0</v>
      </c>
      <c r="L82" s="256">
        <f t="shared" si="18"/>
        <v>0</v>
      </c>
      <c r="M82" s="256">
        <f t="shared" si="18"/>
        <v>0</v>
      </c>
      <c r="N82" s="256">
        <f t="shared" si="18"/>
        <v>0</v>
      </c>
      <c r="O82" s="256">
        <f t="shared" si="18"/>
        <v>0</v>
      </c>
      <c r="P82" s="256">
        <f t="shared" si="18"/>
        <v>0</v>
      </c>
      <c r="Q82" s="256">
        <f t="shared" si="18"/>
        <v>0</v>
      </c>
      <c r="R82" s="256">
        <f t="shared" si="18"/>
        <v>0</v>
      </c>
      <c r="S82" s="256">
        <f t="shared" si="18"/>
        <v>0</v>
      </c>
      <c r="T82" s="256">
        <f t="shared" si="18"/>
        <v>0</v>
      </c>
      <c r="U82" s="256">
        <f t="shared" si="18"/>
        <v>0</v>
      </c>
      <c r="V82" s="256">
        <f t="shared" si="18"/>
        <v>0</v>
      </c>
      <c r="W82" s="256">
        <f t="shared" si="18"/>
        <v>0</v>
      </c>
      <c r="X82" s="256">
        <f t="shared" si="18"/>
        <v>0</v>
      </c>
      <c r="Y82" s="256">
        <f t="shared" si="18"/>
        <v>0</v>
      </c>
      <c r="Z82" s="256">
        <f t="shared" si="18"/>
        <v>0</v>
      </c>
      <c r="AA82" s="256">
        <f t="shared" si="18"/>
        <v>0</v>
      </c>
      <c r="AB82" s="256">
        <f t="shared" si="18"/>
        <v>0</v>
      </c>
      <c r="AC82" s="256">
        <f t="shared" si="18"/>
        <v>0</v>
      </c>
      <c r="AD82" s="256">
        <f t="shared" si="18"/>
        <v>0</v>
      </c>
      <c r="AE82" s="256">
        <f t="shared" si="18"/>
        <v>0</v>
      </c>
      <c r="AF82" s="256">
        <f t="shared" si="18"/>
        <v>0</v>
      </c>
      <c r="AG82" s="235"/>
      <c r="AH82" s="226">
        <f t="shared" si="15"/>
        <v>0</v>
      </c>
      <c r="AI82" s="227">
        <f t="shared" si="17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9">IF(C65&lt;0,C65*-1,0)</f>
        <v>0</v>
      </c>
      <c r="D83" s="256">
        <f t="shared" si="19"/>
        <v>0</v>
      </c>
      <c r="E83" s="256">
        <f t="shared" si="19"/>
        <v>0</v>
      </c>
      <c r="F83" s="256">
        <f t="shared" si="19"/>
        <v>0</v>
      </c>
      <c r="G83" s="256">
        <f t="shared" si="19"/>
        <v>0</v>
      </c>
      <c r="H83" s="256">
        <f t="shared" si="19"/>
        <v>0</v>
      </c>
      <c r="I83" s="256">
        <f t="shared" si="19"/>
        <v>0</v>
      </c>
      <c r="J83" s="256">
        <f t="shared" si="19"/>
        <v>0</v>
      </c>
      <c r="K83" s="256">
        <f t="shared" si="19"/>
        <v>0</v>
      </c>
      <c r="L83" s="256">
        <f t="shared" si="19"/>
        <v>0</v>
      </c>
      <c r="M83" s="256">
        <f t="shared" si="19"/>
        <v>0</v>
      </c>
      <c r="N83" s="256">
        <f t="shared" si="19"/>
        <v>0</v>
      </c>
      <c r="O83" s="256">
        <f t="shared" si="19"/>
        <v>0</v>
      </c>
      <c r="P83" s="256">
        <f t="shared" si="19"/>
        <v>0</v>
      </c>
      <c r="Q83" s="256">
        <f t="shared" si="19"/>
        <v>0</v>
      </c>
      <c r="R83" s="256">
        <f t="shared" si="19"/>
        <v>0</v>
      </c>
      <c r="S83" s="256">
        <f t="shared" si="19"/>
        <v>0</v>
      </c>
      <c r="T83" s="256">
        <f t="shared" si="19"/>
        <v>0</v>
      </c>
      <c r="U83" s="256">
        <f t="shared" si="19"/>
        <v>0</v>
      </c>
      <c r="V83" s="256">
        <f t="shared" si="19"/>
        <v>0</v>
      </c>
      <c r="W83" s="256">
        <f t="shared" si="19"/>
        <v>0</v>
      </c>
      <c r="X83" s="256">
        <f t="shared" si="19"/>
        <v>0</v>
      </c>
      <c r="Y83" s="256">
        <f t="shared" si="19"/>
        <v>0</v>
      </c>
      <c r="Z83" s="256">
        <f t="shared" si="19"/>
        <v>0</v>
      </c>
      <c r="AA83" s="256">
        <f t="shared" si="19"/>
        <v>0</v>
      </c>
      <c r="AB83" s="256">
        <f t="shared" si="19"/>
        <v>0</v>
      </c>
      <c r="AC83" s="256">
        <f t="shared" si="19"/>
        <v>0</v>
      </c>
      <c r="AD83" s="256">
        <f t="shared" si="19"/>
        <v>0</v>
      </c>
      <c r="AE83" s="256">
        <f t="shared" si="19"/>
        <v>0</v>
      </c>
      <c r="AF83" s="256">
        <f t="shared" si="19"/>
        <v>0</v>
      </c>
      <c r="AG83" s="266"/>
      <c r="AH83" s="226">
        <f t="shared" si="15"/>
        <v>0</v>
      </c>
      <c r="AI83" s="227">
        <f t="shared" si="17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350</v>
      </c>
      <c r="C84" s="256">
        <f t="shared" ref="C84:AF84" si="20">IF(C63&lt;0,C63*-1,0)</f>
        <v>408</v>
      </c>
      <c r="D84" s="256">
        <f t="shared" si="20"/>
        <v>390</v>
      </c>
      <c r="E84" s="256">
        <f t="shared" si="20"/>
        <v>410</v>
      </c>
      <c r="F84" s="256">
        <f t="shared" si="20"/>
        <v>412</v>
      </c>
      <c r="G84" s="256">
        <f t="shared" si="20"/>
        <v>420</v>
      </c>
      <c r="H84" s="256">
        <f t="shared" si="20"/>
        <v>408</v>
      </c>
      <c r="I84" s="256">
        <f t="shared" si="20"/>
        <v>412</v>
      </c>
      <c r="J84" s="256">
        <f t="shared" si="20"/>
        <v>420</v>
      </c>
      <c r="K84" s="256">
        <f t="shared" si="20"/>
        <v>380</v>
      </c>
      <c r="L84" s="256">
        <f t="shared" si="20"/>
        <v>390</v>
      </c>
      <c r="M84" s="256">
        <f t="shared" si="20"/>
        <v>365</v>
      </c>
      <c r="N84" s="256">
        <f t="shared" si="20"/>
        <v>378</v>
      </c>
      <c r="O84" s="256">
        <f t="shared" si="20"/>
        <v>378</v>
      </c>
      <c r="P84" s="256">
        <f t="shared" si="20"/>
        <v>378</v>
      </c>
      <c r="Q84" s="256">
        <f t="shared" si="20"/>
        <v>378</v>
      </c>
      <c r="R84" s="256">
        <f t="shared" si="20"/>
        <v>378</v>
      </c>
      <c r="S84" s="256">
        <f t="shared" si="20"/>
        <v>363.8</v>
      </c>
      <c r="T84" s="256">
        <f t="shared" si="20"/>
        <v>378.1</v>
      </c>
      <c r="U84" s="256">
        <f t="shared" si="20"/>
        <v>400.7</v>
      </c>
      <c r="V84" s="256">
        <f t="shared" si="20"/>
        <v>402.1</v>
      </c>
      <c r="W84" s="256">
        <f t="shared" si="20"/>
        <v>398.4</v>
      </c>
      <c r="X84" s="256">
        <f t="shared" si="20"/>
        <v>376.9</v>
      </c>
      <c r="Y84" s="256">
        <f t="shared" si="20"/>
        <v>301.2</v>
      </c>
      <c r="Z84" s="256">
        <f t="shared" si="20"/>
        <v>255.5</v>
      </c>
      <c r="AA84" s="256">
        <f t="shared" si="20"/>
        <v>296.5</v>
      </c>
      <c r="AB84" s="256">
        <f t="shared" si="20"/>
        <v>318.3</v>
      </c>
      <c r="AC84" s="256">
        <f t="shared" si="20"/>
        <v>302</v>
      </c>
      <c r="AD84" s="256">
        <f t="shared" si="20"/>
        <v>320.2</v>
      </c>
      <c r="AE84" s="256">
        <f t="shared" si="20"/>
        <v>363.2</v>
      </c>
      <c r="AF84" s="256">
        <f t="shared" si="20"/>
        <v>360.8</v>
      </c>
      <c r="AG84" s="266"/>
      <c r="AH84" s="226">
        <f t="shared" si="15"/>
        <v>420</v>
      </c>
      <c r="AI84" s="227">
        <f t="shared" si="17"/>
        <v>255.5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1">IF(C61&lt;0,C61*-1,0)</f>
        <v>0</v>
      </c>
      <c r="D85" s="256">
        <f t="shared" si="21"/>
        <v>0</v>
      </c>
      <c r="E85" s="256">
        <f t="shared" si="21"/>
        <v>0</v>
      </c>
      <c r="F85" s="256">
        <f t="shared" si="21"/>
        <v>0</v>
      </c>
      <c r="G85" s="256">
        <f t="shared" si="21"/>
        <v>0</v>
      </c>
      <c r="H85" s="256">
        <f t="shared" si="21"/>
        <v>0</v>
      </c>
      <c r="I85" s="256">
        <f t="shared" si="21"/>
        <v>0</v>
      </c>
      <c r="J85" s="256">
        <f t="shared" si="21"/>
        <v>0</v>
      </c>
      <c r="K85" s="256">
        <f t="shared" si="21"/>
        <v>0</v>
      </c>
      <c r="L85" s="256">
        <f t="shared" si="21"/>
        <v>0</v>
      </c>
      <c r="M85" s="256">
        <f t="shared" si="21"/>
        <v>0</v>
      </c>
      <c r="N85" s="256">
        <f t="shared" si="21"/>
        <v>0</v>
      </c>
      <c r="O85" s="256">
        <f t="shared" si="21"/>
        <v>0</v>
      </c>
      <c r="P85" s="256">
        <f t="shared" si="21"/>
        <v>0</v>
      </c>
      <c r="Q85" s="256">
        <f t="shared" si="21"/>
        <v>0</v>
      </c>
      <c r="R85" s="256">
        <f t="shared" si="21"/>
        <v>0</v>
      </c>
      <c r="S85" s="256">
        <f t="shared" si="21"/>
        <v>0</v>
      </c>
      <c r="T85" s="256">
        <f t="shared" si="21"/>
        <v>0</v>
      </c>
      <c r="U85" s="256">
        <f t="shared" si="21"/>
        <v>0</v>
      </c>
      <c r="V85" s="256">
        <f t="shared" si="21"/>
        <v>0</v>
      </c>
      <c r="W85" s="256">
        <f t="shared" si="21"/>
        <v>0</v>
      </c>
      <c r="X85" s="256">
        <f t="shared" si="21"/>
        <v>0</v>
      </c>
      <c r="Y85" s="256">
        <f t="shared" si="21"/>
        <v>0</v>
      </c>
      <c r="Z85" s="256">
        <f t="shared" si="21"/>
        <v>0</v>
      </c>
      <c r="AA85" s="256">
        <f t="shared" si="21"/>
        <v>0</v>
      </c>
      <c r="AB85" s="256">
        <f t="shared" si="21"/>
        <v>0</v>
      </c>
      <c r="AC85" s="256">
        <f t="shared" si="21"/>
        <v>0</v>
      </c>
      <c r="AD85" s="256">
        <f t="shared" si="21"/>
        <v>0</v>
      </c>
      <c r="AE85" s="256">
        <f t="shared" si="21"/>
        <v>0</v>
      </c>
      <c r="AF85" s="256">
        <f t="shared" si="21"/>
        <v>0</v>
      </c>
      <c r="AG85" s="266"/>
      <c r="AH85" s="226">
        <f t="shared" si="15"/>
        <v>0</v>
      </c>
      <c r="AI85" s="227">
        <f t="shared" si="17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5"/>
        <v>0</v>
      </c>
      <c r="AI86" s="227">
        <f t="shared" si="17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350</v>
      </c>
      <c r="C87" s="241">
        <f t="shared" ref="C87:AF87" si="22">SUM(C81:C86)</f>
        <v>408</v>
      </c>
      <c r="D87" s="241">
        <f t="shared" si="22"/>
        <v>390</v>
      </c>
      <c r="E87" s="241">
        <f t="shared" si="22"/>
        <v>410</v>
      </c>
      <c r="F87" s="241">
        <f t="shared" si="22"/>
        <v>412</v>
      </c>
      <c r="G87" s="241">
        <f t="shared" si="22"/>
        <v>420</v>
      </c>
      <c r="H87" s="241">
        <f t="shared" si="22"/>
        <v>408</v>
      </c>
      <c r="I87" s="241">
        <f t="shared" si="22"/>
        <v>412</v>
      </c>
      <c r="J87" s="241">
        <f t="shared" si="22"/>
        <v>420</v>
      </c>
      <c r="K87" s="241">
        <f t="shared" si="22"/>
        <v>380</v>
      </c>
      <c r="L87" s="241">
        <f t="shared" si="22"/>
        <v>390</v>
      </c>
      <c r="M87" s="241">
        <f t="shared" si="22"/>
        <v>365</v>
      </c>
      <c r="N87" s="241">
        <f t="shared" si="22"/>
        <v>378</v>
      </c>
      <c r="O87" s="241">
        <f t="shared" si="22"/>
        <v>378</v>
      </c>
      <c r="P87" s="241">
        <f t="shared" si="22"/>
        <v>378</v>
      </c>
      <c r="Q87" s="241">
        <f t="shared" si="22"/>
        <v>378</v>
      </c>
      <c r="R87" s="241">
        <f t="shared" si="22"/>
        <v>378</v>
      </c>
      <c r="S87" s="241">
        <f t="shared" si="22"/>
        <v>363.8</v>
      </c>
      <c r="T87" s="241">
        <f t="shared" si="22"/>
        <v>378.1</v>
      </c>
      <c r="U87" s="241">
        <f t="shared" si="22"/>
        <v>400.7</v>
      </c>
      <c r="V87" s="241">
        <f t="shared" si="22"/>
        <v>402.1</v>
      </c>
      <c r="W87" s="241">
        <f t="shared" si="22"/>
        <v>398.4</v>
      </c>
      <c r="X87" s="241">
        <f t="shared" si="22"/>
        <v>376.9</v>
      </c>
      <c r="Y87" s="241">
        <f t="shared" si="22"/>
        <v>301.2</v>
      </c>
      <c r="Z87" s="241">
        <f t="shared" si="22"/>
        <v>255.5</v>
      </c>
      <c r="AA87" s="241">
        <f t="shared" si="22"/>
        <v>296.5</v>
      </c>
      <c r="AB87" s="241">
        <f t="shared" si="22"/>
        <v>318.3</v>
      </c>
      <c r="AC87" s="241">
        <f t="shared" si="22"/>
        <v>302</v>
      </c>
      <c r="AD87" s="241">
        <f t="shared" si="22"/>
        <v>320.2</v>
      </c>
      <c r="AE87" s="241">
        <f t="shared" si="22"/>
        <v>363.2</v>
      </c>
      <c r="AF87" s="241">
        <f t="shared" si="22"/>
        <v>360.8</v>
      </c>
      <c r="AG87" s="261"/>
      <c r="AH87" s="226">
        <f t="shared" si="15"/>
        <v>420</v>
      </c>
      <c r="AI87" s="227">
        <f t="shared" si="17"/>
        <v>255.5</v>
      </c>
      <c r="AK87" s="228"/>
    </row>
    <row r="88" spans="1:88" s="175" customFormat="1" ht="15.75" thickBot="1" x14ac:dyDescent="0.3">
      <c r="A88" s="254" t="s">
        <v>93</v>
      </c>
      <c r="B88" s="241">
        <f>B72-B87</f>
        <v>-350</v>
      </c>
      <c r="C88" s="241">
        <f t="shared" ref="C88:AF88" si="23">C72-C87</f>
        <v>-408</v>
      </c>
      <c r="D88" s="241">
        <f t="shared" si="23"/>
        <v>-390</v>
      </c>
      <c r="E88" s="241">
        <f t="shared" si="23"/>
        <v>-410</v>
      </c>
      <c r="F88" s="241">
        <f t="shared" si="23"/>
        <v>-412</v>
      </c>
      <c r="G88" s="241">
        <f t="shared" si="23"/>
        <v>-420</v>
      </c>
      <c r="H88" s="241">
        <f t="shared" si="23"/>
        <v>-408</v>
      </c>
      <c r="I88" s="241">
        <f t="shared" si="23"/>
        <v>-412</v>
      </c>
      <c r="J88" s="241">
        <f t="shared" si="23"/>
        <v>-420</v>
      </c>
      <c r="K88" s="241">
        <f t="shared" si="23"/>
        <v>-380</v>
      </c>
      <c r="L88" s="241">
        <f t="shared" si="23"/>
        <v>-390</v>
      </c>
      <c r="M88" s="241">
        <f t="shared" si="23"/>
        <v>-325</v>
      </c>
      <c r="N88" s="241">
        <f t="shared" si="23"/>
        <v>-351</v>
      </c>
      <c r="O88" s="241">
        <f t="shared" si="23"/>
        <v>-326</v>
      </c>
      <c r="P88" s="241">
        <f t="shared" si="23"/>
        <v>-341</v>
      </c>
      <c r="Q88" s="241">
        <f t="shared" si="23"/>
        <v>-335</v>
      </c>
      <c r="R88" s="241">
        <f t="shared" si="23"/>
        <v>-332</v>
      </c>
      <c r="S88" s="241">
        <f t="shared" si="23"/>
        <v>-357</v>
      </c>
      <c r="T88" s="241">
        <f t="shared" si="23"/>
        <v>-343.1</v>
      </c>
      <c r="U88" s="241">
        <f t="shared" si="23"/>
        <v>-374.4</v>
      </c>
      <c r="V88" s="241">
        <f t="shared" si="23"/>
        <v>-384.20000000000005</v>
      </c>
      <c r="W88" s="241">
        <f t="shared" si="23"/>
        <v>-385.4</v>
      </c>
      <c r="X88" s="241">
        <f t="shared" si="23"/>
        <v>-363.2</v>
      </c>
      <c r="Y88" s="241">
        <f t="shared" si="23"/>
        <v>-290.09999999999997</v>
      </c>
      <c r="Z88" s="241">
        <f t="shared" si="23"/>
        <v>-215.3</v>
      </c>
      <c r="AA88" s="241">
        <f t="shared" si="23"/>
        <v>-240.1</v>
      </c>
      <c r="AB88" s="241">
        <f t="shared" si="23"/>
        <v>-262.7</v>
      </c>
      <c r="AC88" s="241">
        <f t="shared" si="23"/>
        <v>-242.4</v>
      </c>
      <c r="AD88" s="241">
        <f t="shared" si="23"/>
        <v>-260.39999999999998</v>
      </c>
      <c r="AE88" s="241">
        <f t="shared" si="23"/>
        <v>-309.59999999999997</v>
      </c>
      <c r="AF88" s="241">
        <f t="shared" si="23"/>
        <v>-331.8</v>
      </c>
      <c r="AG88" s="261"/>
      <c r="AH88" s="226">
        <f t="shared" si="15"/>
        <v>-215.3</v>
      </c>
      <c r="AI88" s="227">
        <f t="shared" si="17"/>
        <v>-420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49.841999999999999</v>
      </c>
      <c r="C89" s="269">
        <v>49.9</v>
      </c>
      <c r="D89" s="269">
        <v>50</v>
      </c>
      <c r="E89" s="269">
        <v>50.02</v>
      </c>
      <c r="F89" s="269">
        <v>50</v>
      </c>
      <c r="G89" s="269">
        <v>49.99</v>
      </c>
      <c r="H89" s="269">
        <v>50</v>
      </c>
      <c r="I89" s="269">
        <v>49.98</v>
      </c>
      <c r="J89" s="269">
        <v>50.02</v>
      </c>
      <c r="K89" s="269">
        <v>49.97</v>
      </c>
      <c r="L89" s="269">
        <v>50.06</v>
      </c>
      <c r="M89" s="269">
        <v>50.01</v>
      </c>
      <c r="N89" s="269">
        <v>50.023000000000003</v>
      </c>
      <c r="O89" s="269">
        <v>50.023000000000003</v>
      </c>
      <c r="P89" s="269">
        <v>50.023000000000003</v>
      </c>
      <c r="Q89" s="269">
        <v>50.023000000000003</v>
      </c>
      <c r="R89" s="269">
        <v>50.042999999999999</v>
      </c>
      <c r="S89" s="269">
        <v>50.042999999999999</v>
      </c>
      <c r="T89" s="269">
        <v>49.902000000000001</v>
      </c>
      <c r="U89" s="269">
        <v>49.988</v>
      </c>
      <c r="V89" s="269">
        <v>49.981000000000002</v>
      </c>
      <c r="W89" s="269">
        <v>49.970999999999997</v>
      </c>
      <c r="X89" s="269">
        <v>50.012</v>
      </c>
      <c r="Y89" s="269">
        <v>50.026000000000003</v>
      </c>
      <c r="Z89" s="269">
        <v>50.027000000000001</v>
      </c>
      <c r="AA89" s="269">
        <v>50.02</v>
      </c>
      <c r="AB89" s="269">
        <v>50.021999999999998</v>
      </c>
      <c r="AC89" s="269">
        <v>50.042000000000002</v>
      </c>
      <c r="AD89" s="269">
        <v>49.954000000000001</v>
      </c>
      <c r="AE89" s="269">
        <v>50.021999999999998</v>
      </c>
      <c r="AF89" s="269">
        <v>50.037999999999997</v>
      </c>
      <c r="AG89" s="270"/>
      <c r="AH89" s="226">
        <f t="shared" si="15"/>
        <v>50.06</v>
      </c>
      <c r="AI89" s="227">
        <f t="shared" si="17"/>
        <v>49.841999999999999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124</v>
      </c>
      <c r="C90" s="245">
        <v>124</v>
      </c>
      <c r="D90" s="245">
        <v>124</v>
      </c>
      <c r="E90" s="245">
        <v>124.3</v>
      </c>
      <c r="F90" s="245">
        <v>125.1</v>
      </c>
      <c r="G90" s="245">
        <v>127</v>
      </c>
      <c r="H90" s="245">
        <v>125.1</v>
      </c>
      <c r="I90" s="245">
        <v>125.1</v>
      </c>
      <c r="J90" s="245">
        <v>125.1</v>
      </c>
      <c r="K90" s="245">
        <v>125.1</v>
      </c>
      <c r="L90" s="245">
        <v>124</v>
      </c>
      <c r="M90" s="245">
        <v>124.4</v>
      </c>
      <c r="N90" s="245">
        <v>124</v>
      </c>
      <c r="O90" s="245">
        <v>124</v>
      </c>
      <c r="P90" s="245">
        <v>124</v>
      </c>
      <c r="Q90" s="245">
        <v>124</v>
      </c>
      <c r="R90" s="245">
        <v>121.3</v>
      </c>
      <c r="S90" s="245">
        <v>121.3</v>
      </c>
      <c r="T90" s="245">
        <v>121.3</v>
      </c>
      <c r="U90" s="245">
        <v>122.2</v>
      </c>
      <c r="V90" s="245">
        <v>123.8</v>
      </c>
      <c r="W90" s="245">
        <v>123.6</v>
      </c>
      <c r="X90" s="245">
        <v>124.2</v>
      </c>
      <c r="Y90" s="245">
        <v>124.2</v>
      </c>
      <c r="Z90" s="245">
        <v>124.6</v>
      </c>
      <c r="AA90" s="245">
        <v>125.6</v>
      </c>
      <c r="AB90" s="245">
        <v>125.8</v>
      </c>
      <c r="AC90" s="245">
        <v>125.2</v>
      </c>
      <c r="AD90" s="245">
        <v>125</v>
      </c>
      <c r="AE90" s="245">
        <v>124.3</v>
      </c>
      <c r="AF90" s="245">
        <v>122.9</v>
      </c>
      <c r="AG90" s="272"/>
      <c r="AH90" s="226">
        <f t="shared" si="15"/>
        <v>127</v>
      </c>
      <c r="AI90" s="227">
        <f t="shared" si="17"/>
        <v>121.3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</v>
      </c>
      <c r="C91" s="245">
        <v>128</v>
      </c>
      <c r="D91" s="245">
        <v>129</v>
      </c>
      <c r="E91" s="245">
        <v>128.80000000000001</v>
      </c>
      <c r="F91" s="245">
        <v>129.30000000000001</v>
      </c>
      <c r="G91" s="245">
        <v>130.5</v>
      </c>
      <c r="H91" s="245">
        <v>129.30000000000001</v>
      </c>
      <c r="I91" s="245">
        <v>129.30000000000001</v>
      </c>
      <c r="J91" s="245">
        <v>129.30000000000001</v>
      </c>
      <c r="K91" s="245">
        <v>127.3</v>
      </c>
      <c r="L91" s="245">
        <v>127.3</v>
      </c>
      <c r="M91" s="245">
        <v>127.3</v>
      </c>
      <c r="N91" s="245">
        <v>127</v>
      </c>
      <c r="O91" s="245">
        <v>127</v>
      </c>
      <c r="P91" s="245">
        <v>127</v>
      </c>
      <c r="Q91" s="245">
        <v>127</v>
      </c>
      <c r="R91" s="245">
        <v>125.1</v>
      </c>
      <c r="S91" s="245">
        <v>125.1</v>
      </c>
      <c r="T91" s="245">
        <v>125.1</v>
      </c>
      <c r="U91" s="245">
        <v>125.6</v>
      </c>
      <c r="V91" s="245">
        <v>127.3</v>
      </c>
      <c r="W91" s="245">
        <v>127</v>
      </c>
      <c r="X91" s="245">
        <v>127.6</v>
      </c>
      <c r="Y91" s="245">
        <v>127.6</v>
      </c>
      <c r="Z91" s="245">
        <v>128.4</v>
      </c>
      <c r="AA91" s="245">
        <v>129.4</v>
      </c>
      <c r="AB91" s="245">
        <v>128.69999999999999</v>
      </c>
      <c r="AC91" s="245">
        <v>128.5</v>
      </c>
      <c r="AD91" s="245">
        <v>128.80000000000001</v>
      </c>
      <c r="AE91" s="245">
        <v>128.6</v>
      </c>
      <c r="AF91" s="245">
        <v>127.4</v>
      </c>
      <c r="AG91" s="272"/>
      <c r="AH91" s="226">
        <f t="shared" si="15"/>
        <v>130.5</v>
      </c>
      <c r="AI91" s="227">
        <f t="shared" si="17"/>
        <v>125.1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128</v>
      </c>
      <c r="C92" s="245">
        <v>128</v>
      </c>
      <c r="D92" s="245">
        <v>131.69999999999999</v>
      </c>
      <c r="E92" s="245">
        <v>130.30000000000001</v>
      </c>
      <c r="F92" s="245">
        <v>131.1</v>
      </c>
      <c r="G92" s="245">
        <v>131.6</v>
      </c>
      <c r="H92" s="245">
        <v>131.1</v>
      </c>
      <c r="I92" s="245">
        <v>131.1</v>
      </c>
      <c r="J92" s="245">
        <v>131.1</v>
      </c>
      <c r="K92" s="245">
        <v>131.1</v>
      </c>
      <c r="L92" s="245">
        <v>131.1</v>
      </c>
      <c r="M92" s="245">
        <v>129.6</v>
      </c>
      <c r="N92" s="245">
        <v>128</v>
      </c>
      <c r="O92" s="245">
        <v>128</v>
      </c>
      <c r="P92" s="245">
        <v>128</v>
      </c>
      <c r="Q92" s="245">
        <v>128</v>
      </c>
      <c r="R92" s="245">
        <v>129.69999999999999</v>
      </c>
      <c r="S92" s="245">
        <v>129.69999999999999</v>
      </c>
      <c r="T92" s="245">
        <v>129.69999999999999</v>
      </c>
      <c r="U92" s="245">
        <v>130.1</v>
      </c>
      <c r="V92" s="245">
        <v>130.6</v>
      </c>
      <c r="W92" s="245">
        <v>130</v>
      </c>
      <c r="X92" s="245">
        <v>130.9</v>
      </c>
      <c r="Y92" s="245">
        <v>130.9</v>
      </c>
      <c r="Z92" s="245">
        <v>129.4</v>
      </c>
      <c r="AA92" s="245">
        <v>129.5</v>
      </c>
      <c r="AB92" s="245">
        <v>129.69999999999999</v>
      </c>
      <c r="AC92" s="245">
        <v>129.6</v>
      </c>
      <c r="AD92" s="245">
        <v>128.6</v>
      </c>
      <c r="AE92" s="245">
        <v>129.80000000000001</v>
      </c>
      <c r="AF92" s="245">
        <v>129.19999999999999</v>
      </c>
      <c r="AG92" s="272"/>
      <c r="AH92" s="226">
        <f t="shared" si="15"/>
        <v>131.69999999999999</v>
      </c>
      <c r="AI92" s="227">
        <f t="shared" si="17"/>
        <v>128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131.6</v>
      </c>
      <c r="C93" s="245">
        <v>131.6</v>
      </c>
      <c r="D93" s="245">
        <v>134</v>
      </c>
      <c r="E93" s="245">
        <v>131.80000000000001</v>
      </c>
      <c r="F93" s="245">
        <v>133.19999999999999</v>
      </c>
      <c r="G93" s="245">
        <v>132.9</v>
      </c>
      <c r="H93" s="245">
        <v>133.19999999999999</v>
      </c>
      <c r="I93" s="245">
        <v>133.19999999999999</v>
      </c>
      <c r="J93" s="245">
        <v>133.19999999999999</v>
      </c>
      <c r="K93" s="245">
        <v>133.19999999999999</v>
      </c>
      <c r="L93" s="245">
        <v>133.19999999999999</v>
      </c>
      <c r="M93" s="245">
        <v>133</v>
      </c>
      <c r="N93" s="245">
        <v>132</v>
      </c>
      <c r="O93" s="245">
        <v>132</v>
      </c>
      <c r="P93" s="245">
        <v>132</v>
      </c>
      <c r="Q93" s="245">
        <v>132</v>
      </c>
      <c r="R93" s="245">
        <v>133</v>
      </c>
      <c r="S93" s="245">
        <v>133</v>
      </c>
      <c r="T93" s="245">
        <v>133</v>
      </c>
      <c r="U93" s="245">
        <v>132.4</v>
      </c>
      <c r="V93" s="245">
        <v>132.6</v>
      </c>
      <c r="W93" s="245">
        <v>133.5</v>
      </c>
      <c r="X93" s="245">
        <v>133.5</v>
      </c>
      <c r="Y93" s="245">
        <v>133.5</v>
      </c>
      <c r="Z93" s="245">
        <v>132.30000000000001</v>
      </c>
      <c r="AA93" s="245">
        <v>132.6</v>
      </c>
      <c r="AB93" s="245">
        <v>132.69999999999999</v>
      </c>
      <c r="AC93" s="245">
        <v>132.9</v>
      </c>
      <c r="AD93" s="245">
        <v>132.30000000000001</v>
      </c>
      <c r="AE93" s="245">
        <v>134.30000000000001</v>
      </c>
      <c r="AF93" s="245">
        <v>133.4</v>
      </c>
      <c r="AG93" s="272"/>
      <c r="AH93" s="226">
        <f t="shared" si="15"/>
        <v>134.30000000000001</v>
      </c>
      <c r="AI93" s="227">
        <f t="shared" si="17"/>
        <v>131.6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132.9</v>
      </c>
      <c r="C94" s="274">
        <v>132.9</v>
      </c>
      <c r="D94" s="274">
        <v>132</v>
      </c>
      <c r="E94" s="274">
        <v>127.6</v>
      </c>
      <c r="F94" s="274">
        <v>132.4</v>
      </c>
      <c r="G94" s="274">
        <v>132.9</v>
      </c>
      <c r="H94" s="274">
        <v>132.4</v>
      </c>
      <c r="I94" s="274">
        <v>132.4</v>
      </c>
      <c r="J94" s="274">
        <v>132.4</v>
      </c>
      <c r="K94" s="274">
        <v>132.4</v>
      </c>
      <c r="L94" s="274">
        <v>132.4</v>
      </c>
      <c r="M94" s="274">
        <v>135.4</v>
      </c>
      <c r="N94" s="274">
        <v>28</v>
      </c>
      <c r="O94" s="274">
        <v>28</v>
      </c>
      <c r="P94" s="274">
        <v>28</v>
      </c>
      <c r="Q94" s="274">
        <v>28</v>
      </c>
      <c r="R94" s="274">
        <v>134.19999999999999</v>
      </c>
      <c r="S94" s="274">
        <v>134.19999999999999</v>
      </c>
      <c r="T94" s="274">
        <v>134.19999999999999</v>
      </c>
      <c r="U94" s="274">
        <v>132.19999999999999</v>
      </c>
      <c r="V94" s="274">
        <v>134.19999999999999</v>
      </c>
      <c r="W94" s="274">
        <v>133.30000000000001</v>
      </c>
      <c r="X94" s="274">
        <v>133.30000000000001</v>
      </c>
      <c r="Y94" s="274">
        <v>133.30000000000001</v>
      </c>
      <c r="Z94" s="274">
        <v>131.69999999999999</v>
      </c>
      <c r="AA94" s="274">
        <v>132.1</v>
      </c>
      <c r="AB94" s="274">
        <v>131.6</v>
      </c>
      <c r="AC94" s="274">
        <v>134.19999999999999</v>
      </c>
      <c r="AD94" s="274">
        <v>135.9</v>
      </c>
      <c r="AE94" s="274">
        <v>135.19999999999999</v>
      </c>
      <c r="AF94" s="274">
        <v>133.19999999999999</v>
      </c>
      <c r="AG94" s="275"/>
      <c r="AH94" s="226">
        <f t="shared" si="15"/>
        <v>135.9</v>
      </c>
      <c r="AI94" s="227">
        <f t="shared" si="17"/>
        <v>28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129.5</v>
      </c>
      <c r="C95" s="245">
        <v>129.5</v>
      </c>
      <c r="D95" s="245">
        <v>129.80000000000001</v>
      </c>
      <c r="E95" s="245">
        <v>123.5</v>
      </c>
      <c r="F95" s="245">
        <v>129.80000000000001</v>
      </c>
      <c r="G95" s="245">
        <v>129.5</v>
      </c>
      <c r="H95" s="245">
        <v>129.80000000000001</v>
      </c>
      <c r="I95" s="245">
        <v>129.80000000000001</v>
      </c>
      <c r="J95" s="245">
        <v>129.80000000000001</v>
      </c>
      <c r="K95" s="245">
        <v>129.80000000000001</v>
      </c>
      <c r="L95" s="245">
        <v>133</v>
      </c>
      <c r="M95" s="245">
        <v>132.19999999999999</v>
      </c>
      <c r="N95" s="245">
        <v>124</v>
      </c>
      <c r="O95" s="245">
        <v>124</v>
      </c>
      <c r="P95" s="245">
        <v>124</v>
      </c>
      <c r="Q95" s="245">
        <v>124</v>
      </c>
      <c r="R95" s="245">
        <v>128.69999999999999</v>
      </c>
      <c r="S95" s="245">
        <v>128.69999999999999</v>
      </c>
      <c r="T95" s="245">
        <v>128.69999999999999</v>
      </c>
      <c r="U95" s="245">
        <v>131.9</v>
      </c>
      <c r="V95" s="245">
        <v>129.80000000000001</v>
      </c>
      <c r="W95" s="245">
        <v>126.3</v>
      </c>
      <c r="X95" s="245">
        <v>126.8</v>
      </c>
      <c r="Y95" s="245">
        <v>126.8</v>
      </c>
      <c r="Z95" s="245">
        <v>129.4</v>
      </c>
      <c r="AA95" s="245">
        <v>129.69999999999999</v>
      </c>
      <c r="AB95" s="245">
        <v>131</v>
      </c>
      <c r="AC95" s="245">
        <v>132.19999999999999</v>
      </c>
      <c r="AD95" s="245">
        <v>133.5</v>
      </c>
      <c r="AE95" s="245">
        <v>133.5</v>
      </c>
      <c r="AF95" s="245">
        <v>129.1</v>
      </c>
      <c r="AG95" s="272"/>
      <c r="AH95" s="226">
        <f t="shared" si="15"/>
        <v>133.5</v>
      </c>
      <c r="AI95" s="227">
        <f t="shared" si="17"/>
        <v>123.5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</v>
      </c>
      <c r="C96" s="276">
        <v>65</v>
      </c>
      <c r="D96" s="276">
        <v>65.400000000000006</v>
      </c>
      <c r="E96" s="276">
        <v>65.400000000000006</v>
      </c>
      <c r="F96" s="276">
        <v>65.7</v>
      </c>
      <c r="G96" s="276">
        <v>66.2</v>
      </c>
      <c r="H96" s="276">
        <v>65.7</v>
      </c>
      <c r="I96" s="276">
        <v>65.7</v>
      </c>
      <c r="J96" s="276">
        <v>65.7</v>
      </c>
      <c r="K96" s="276">
        <v>65.7</v>
      </c>
      <c r="L96" s="276">
        <v>64.3</v>
      </c>
      <c r="M96" s="276">
        <v>64.400000000000006</v>
      </c>
      <c r="N96" s="276">
        <v>64</v>
      </c>
      <c r="O96" s="276">
        <v>64</v>
      </c>
      <c r="P96" s="276">
        <v>64</v>
      </c>
      <c r="Q96" s="276">
        <v>64</v>
      </c>
      <c r="R96" s="276">
        <v>63.4</v>
      </c>
      <c r="S96" s="276">
        <v>63.4</v>
      </c>
      <c r="T96" s="276">
        <v>63.4</v>
      </c>
      <c r="U96" s="276">
        <v>63.6</v>
      </c>
      <c r="V96" s="276">
        <v>64.400000000000006</v>
      </c>
      <c r="W96" s="276">
        <v>64.400000000000006</v>
      </c>
      <c r="X96" s="276">
        <v>64.8</v>
      </c>
      <c r="Y96" s="276">
        <v>64.2</v>
      </c>
      <c r="Z96" s="276">
        <v>64.7</v>
      </c>
      <c r="AA96" s="276">
        <v>65.2</v>
      </c>
      <c r="AB96" s="276">
        <v>65.2</v>
      </c>
      <c r="AC96" s="276">
        <v>65.400000000000006</v>
      </c>
      <c r="AD96" s="276">
        <v>65.2</v>
      </c>
      <c r="AE96" s="276">
        <v>65.3</v>
      </c>
      <c r="AF96" s="276">
        <v>64.599999999999994</v>
      </c>
      <c r="AG96" s="277"/>
      <c r="AH96" s="226">
        <f t="shared" si="15"/>
        <v>66.2</v>
      </c>
      <c r="AI96" s="227">
        <f t="shared" si="17"/>
        <v>63.4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5"/>
        <v>0</v>
      </c>
      <c r="AI97" s="227">
        <f t="shared" si="17"/>
        <v>0</v>
      </c>
    </row>
    <row r="98" spans="1:37" ht="15.75" thickBot="1" x14ac:dyDescent="0.3">
      <c r="A98" s="279" t="s">
        <v>102</v>
      </c>
      <c r="B98" s="280">
        <f t="shared" ref="B98:AF98" si="24">SUM(B15,B18,B21:B22,B46,B48:B49,B51,B53,B99:B102,B124,B130,B136,B145,B147,B159,B166,B169:B170,B177,B179,B181,B185:B187,B189:B191,B196,B202:B203,B205:B207,B215,B220)</f>
        <v>41.400000000000013</v>
      </c>
      <c r="C98" s="280">
        <f t="shared" si="24"/>
        <v>30.340000000000007</v>
      </c>
      <c r="D98" s="280">
        <f t="shared" si="24"/>
        <v>26.140000000000008</v>
      </c>
      <c r="E98" s="280">
        <f t="shared" si="24"/>
        <v>20.940000000000008</v>
      </c>
      <c r="F98" s="280">
        <f t="shared" si="24"/>
        <v>18.140000000000018</v>
      </c>
      <c r="G98" s="280">
        <f t="shared" si="24"/>
        <v>70.440000000000026</v>
      </c>
      <c r="H98" s="280">
        <f t="shared" si="24"/>
        <v>20.140000000000018</v>
      </c>
      <c r="I98" s="280">
        <f t="shared" si="24"/>
        <v>21.140000000000018</v>
      </c>
      <c r="J98" s="280">
        <f t="shared" si="24"/>
        <v>22.140000000000018</v>
      </c>
      <c r="K98" s="280">
        <f t="shared" si="24"/>
        <v>23.140000000000018</v>
      </c>
      <c r="L98" s="280">
        <f t="shared" si="24"/>
        <v>85.94</v>
      </c>
      <c r="M98" s="280">
        <f t="shared" si="24"/>
        <v>129.23999999999998</v>
      </c>
      <c r="N98" s="280">
        <f t="shared" si="24"/>
        <v>185.14</v>
      </c>
      <c r="O98" s="280">
        <f t="shared" si="24"/>
        <v>158.54</v>
      </c>
      <c r="P98" s="280">
        <f t="shared" si="24"/>
        <v>158.54</v>
      </c>
      <c r="Q98" s="280">
        <f t="shared" si="24"/>
        <v>207.90000000000003</v>
      </c>
      <c r="R98" s="280">
        <f t="shared" si="24"/>
        <v>147.10000000000002</v>
      </c>
      <c r="S98" s="280">
        <f t="shared" si="24"/>
        <v>164.7</v>
      </c>
      <c r="T98" s="280">
        <f t="shared" si="24"/>
        <v>175.7</v>
      </c>
      <c r="U98" s="280">
        <f t="shared" si="24"/>
        <v>164.59999999999997</v>
      </c>
      <c r="V98" s="280">
        <f t="shared" si="24"/>
        <v>158.10000000000002</v>
      </c>
      <c r="W98" s="280">
        <f t="shared" si="24"/>
        <v>171.20000000000002</v>
      </c>
      <c r="X98" s="280">
        <f t="shared" si="24"/>
        <v>175.20000000000005</v>
      </c>
      <c r="Y98" s="280">
        <f t="shared" si="24"/>
        <v>205.3</v>
      </c>
      <c r="Z98" s="280">
        <f t="shared" si="24"/>
        <v>206.10000000000002</v>
      </c>
      <c r="AA98" s="280">
        <f t="shared" si="24"/>
        <v>201.6</v>
      </c>
      <c r="AB98" s="280">
        <f t="shared" si="24"/>
        <v>246.59999999999997</v>
      </c>
      <c r="AC98" s="280">
        <f t="shared" si="24"/>
        <v>212.39999999999998</v>
      </c>
      <c r="AD98" s="280">
        <f t="shared" si="24"/>
        <v>151.49999999999997</v>
      </c>
      <c r="AE98" s="280">
        <f t="shared" si="24"/>
        <v>90.999999999999972</v>
      </c>
      <c r="AF98" s="280">
        <f t="shared" si="24"/>
        <v>56.300000000000026</v>
      </c>
      <c r="AG98" s="281"/>
      <c r="AH98" s="226">
        <f>MAX(C98:AF98)</f>
        <v>246.59999999999997</v>
      </c>
      <c r="AI98" s="227">
        <f>MIN(C98:AF98)</f>
        <v>18.140000000000018</v>
      </c>
    </row>
    <row r="99" spans="1:37" x14ac:dyDescent="0.25">
      <c r="A99" s="268" t="s">
        <v>103</v>
      </c>
      <c r="B99" s="282">
        <v>18.399999999999999</v>
      </c>
      <c r="C99" s="282">
        <v>19</v>
      </c>
      <c r="D99" s="282">
        <v>13.2</v>
      </c>
      <c r="E99" s="282">
        <v>12.2</v>
      </c>
      <c r="F99" s="282">
        <v>14.2</v>
      </c>
      <c r="G99" s="282">
        <v>12.3</v>
      </c>
      <c r="H99" s="282">
        <v>16.2</v>
      </c>
      <c r="I99" s="282">
        <v>17.2</v>
      </c>
      <c r="J99" s="282">
        <v>18.2</v>
      </c>
      <c r="K99" s="282">
        <v>19.2</v>
      </c>
      <c r="L99" s="282">
        <v>20.2</v>
      </c>
      <c r="M99" s="282">
        <f>36.4+24.6</f>
        <v>61</v>
      </c>
      <c r="N99" s="282">
        <f>35+21</f>
        <v>56</v>
      </c>
      <c r="O99" s="282"/>
      <c r="P99" s="282"/>
      <c r="Q99" s="282">
        <f>54+37</f>
        <v>91</v>
      </c>
      <c r="R99" s="282">
        <v>37.200000000000003</v>
      </c>
      <c r="S99" s="282">
        <v>37.200000000000003</v>
      </c>
      <c r="T99" s="282">
        <v>39.299999999999997</v>
      </c>
      <c r="U99" s="282">
        <v>45</v>
      </c>
      <c r="V99" s="282">
        <v>42</v>
      </c>
      <c r="W99" s="282">
        <v>35.5</v>
      </c>
      <c r="X99" s="282">
        <v>37.799999999999997</v>
      </c>
      <c r="Y99" s="282">
        <v>32.700000000000003</v>
      </c>
      <c r="Z99" s="282">
        <v>34.6</v>
      </c>
      <c r="AA99" s="282">
        <v>22.9</v>
      </c>
      <c r="AB99" s="282">
        <v>63.8</v>
      </c>
      <c r="AC99" s="282">
        <v>17.2</v>
      </c>
      <c r="AD99" s="282">
        <v>20.100000000000001</v>
      </c>
      <c r="AE99" s="282">
        <v>23.2</v>
      </c>
      <c r="AF99" s="282">
        <v>13.9</v>
      </c>
      <c r="AG99" s="283">
        <v>75</v>
      </c>
      <c r="AH99" s="226">
        <f t="shared" ref="AH99:AH106" si="25">IF(ABS(MAX(C99:AF99))&gt;ABS(MIN(C99:AF99)),MAX(C99:AF99),MIN(C99:AF99))</f>
        <v>91</v>
      </c>
      <c r="AI99" s="284">
        <f t="shared" ref="AI99:AI106" si="26">INDEX($C$9:$AF$9,1,MATCH(AH99,C99:AF99,0))</f>
        <v>0.5</v>
      </c>
    </row>
    <row r="100" spans="1:37" x14ac:dyDescent="0.25">
      <c r="A100" s="271" t="s">
        <v>104</v>
      </c>
      <c r="B100" s="285">
        <v>-150</v>
      </c>
      <c r="C100" s="285">
        <v>-152</v>
      </c>
      <c r="D100" s="285">
        <v>-132</v>
      </c>
      <c r="E100" s="285">
        <f>-66-71.5</f>
        <v>-137.5</v>
      </c>
      <c r="F100" s="285">
        <f>-68.6-73.6</f>
        <v>-142.19999999999999</v>
      </c>
      <c r="G100" s="285">
        <f>-46-49.3</f>
        <v>-95.3</v>
      </c>
      <c r="H100" s="285">
        <f>-68.6-73.6</f>
        <v>-142.19999999999999</v>
      </c>
      <c r="I100" s="285">
        <f>-68.6-73.6</f>
        <v>-142.19999999999999</v>
      </c>
      <c r="J100" s="285">
        <f>-68.6-73.6</f>
        <v>-142.19999999999999</v>
      </c>
      <c r="K100" s="285">
        <f>-68.6-73.6</f>
        <v>-142.19999999999999</v>
      </c>
      <c r="L100" s="285">
        <f>-46.6-47.6</f>
        <v>-94.2</v>
      </c>
      <c r="M100" s="285">
        <f>-45.2-48.2</f>
        <v>-93.4</v>
      </c>
      <c r="N100" s="285">
        <v>-87</v>
      </c>
      <c r="O100" s="285"/>
      <c r="P100" s="285"/>
      <c r="Q100" s="285">
        <v>-100</v>
      </c>
      <c r="R100" s="285">
        <v>-112</v>
      </c>
      <c r="S100" s="285">
        <v>-112</v>
      </c>
      <c r="T100" s="285">
        <v>-108</v>
      </c>
      <c r="U100" s="285">
        <v>-116</v>
      </c>
      <c r="V100" s="285">
        <v>-108</v>
      </c>
      <c r="W100" s="285">
        <v>-102</v>
      </c>
      <c r="X100" s="285">
        <v>-99</v>
      </c>
      <c r="Y100" s="285">
        <v>-84</v>
      </c>
      <c r="Z100" s="285">
        <v>-63</v>
      </c>
      <c r="AA100" s="285">
        <v>-65</v>
      </c>
      <c r="AB100" s="285">
        <v>-88.3</v>
      </c>
      <c r="AC100" s="285">
        <v>-71.3</v>
      </c>
      <c r="AD100" s="285">
        <v>-115.4</v>
      </c>
      <c r="AE100" s="285">
        <v>-131.80000000000001</v>
      </c>
      <c r="AF100" s="285">
        <v>-143.69999999999999</v>
      </c>
      <c r="AG100" s="283">
        <v>240</v>
      </c>
      <c r="AH100" s="226">
        <f t="shared" si="25"/>
        <v>-152</v>
      </c>
      <c r="AI100" s="284">
        <f t="shared" si="26"/>
        <v>4.1666666666666664E-2</v>
      </c>
    </row>
    <row r="101" spans="1:37" x14ac:dyDescent="0.25">
      <c r="A101" s="271" t="s">
        <v>105</v>
      </c>
      <c r="B101" s="285">
        <v>-6.9</v>
      </c>
      <c r="C101" s="285">
        <v>-7.5</v>
      </c>
      <c r="D101" s="285">
        <v>-10.199999999999999</v>
      </c>
      <c r="E101" s="285">
        <v>-8.9</v>
      </c>
      <c r="F101" s="285">
        <v>-9</v>
      </c>
      <c r="G101" s="285">
        <v>-1.7</v>
      </c>
      <c r="H101" s="285">
        <v>-9</v>
      </c>
      <c r="I101" s="285">
        <v>-9</v>
      </c>
      <c r="J101" s="285">
        <v>-9</v>
      </c>
      <c r="K101" s="285">
        <v>-9</v>
      </c>
      <c r="L101" s="285">
        <v>4.8</v>
      </c>
      <c r="M101" s="285">
        <v>4.7</v>
      </c>
      <c r="N101" s="285">
        <v>3.6</v>
      </c>
      <c r="O101" s="285"/>
      <c r="P101" s="285"/>
      <c r="Q101" s="285">
        <v>6.3</v>
      </c>
      <c r="R101" s="285">
        <v>3.7</v>
      </c>
      <c r="S101" s="285">
        <v>3.7</v>
      </c>
      <c r="T101" s="285">
        <v>2.9</v>
      </c>
      <c r="U101" s="285">
        <v>5.2</v>
      </c>
      <c r="V101" s="285">
        <v>5.4</v>
      </c>
      <c r="W101" s="285">
        <v>6.4</v>
      </c>
      <c r="X101" s="285">
        <v>6.3</v>
      </c>
      <c r="Y101" s="285">
        <v>7.3</v>
      </c>
      <c r="Z101" s="285">
        <v>29.9</v>
      </c>
      <c r="AA101" s="285">
        <v>39.1</v>
      </c>
      <c r="AB101" s="285">
        <v>41.5</v>
      </c>
      <c r="AC101" s="285">
        <v>26.1</v>
      </c>
      <c r="AD101" s="285">
        <v>30.4</v>
      </c>
      <c r="AE101" s="285">
        <v>4.0999999999999996</v>
      </c>
      <c r="AF101" s="285">
        <v>-4.3</v>
      </c>
      <c r="AG101" s="283">
        <v>60</v>
      </c>
      <c r="AH101" s="226">
        <f t="shared" si="25"/>
        <v>41.5</v>
      </c>
      <c r="AI101" s="284">
        <f t="shared" si="26"/>
        <v>0.83333333333333337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54</v>
      </c>
      <c r="O102" s="287"/>
      <c r="P102" s="287"/>
      <c r="Q102" s="287">
        <v>38</v>
      </c>
      <c r="R102" s="287">
        <v>40.6</v>
      </c>
      <c r="S102" s="287">
        <v>40.6</v>
      </c>
      <c r="T102" s="287">
        <v>36.299999999999997</v>
      </c>
      <c r="U102" s="287">
        <v>25.2</v>
      </c>
      <c r="V102" s="287">
        <v>25.9</v>
      </c>
      <c r="W102" s="287">
        <v>38.5</v>
      </c>
      <c r="X102" s="287">
        <v>40.299999999999997</v>
      </c>
      <c r="Y102" s="287">
        <v>59.5</v>
      </c>
      <c r="Z102" s="287">
        <v>19.8</v>
      </c>
      <c r="AA102" s="287">
        <v>11.3</v>
      </c>
      <c r="AB102" s="287">
        <v>35.5</v>
      </c>
      <c r="AC102" s="287">
        <v>45.1</v>
      </c>
      <c r="AD102" s="287">
        <v>21.1</v>
      </c>
      <c r="AE102" s="287">
        <v>0</v>
      </c>
      <c r="AF102" s="287">
        <v>0</v>
      </c>
      <c r="AG102" s="288">
        <v>120</v>
      </c>
      <c r="AH102" s="226">
        <f t="shared" si="25"/>
        <v>59.5</v>
      </c>
      <c r="AI102" s="284">
        <f t="shared" si="26"/>
        <v>0.77083333333333337</v>
      </c>
    </row>
    <row r="103" spans="1:37" x14ac:dyDescent="0.25">
      <c r="A103" s="286" t="s">
        <v>107</v>
      </c>
      <c r="B103" s="287">
        <v>32.6</v>
      </c>
      <c r="C103" s="287">
        <v>41.2</v>
      </c>
      <c r="D103" s="287">
        <v>47</v>
      </c>
      <c r="E103" s="287">
        <v>25.2</v>
      </c>
      <c r="F103" s="287">
        <v>29.2</v>
      </c>
      <c r="G103" s="287">
        <v>45.9</v>
      </c>
      <c r="H103" s="287">
        <v>29.2</v>
      </c>
      <c r="I103" s="287">
        <v>29.2</v>
      </c>
      <c r="J103" s="287">
        <v>29.2</v>
      </c>
      <c r="K103" s="287">
        <v>29.2</v>
      </c>
      <c r="L103" s="287">
        <v>29.2</v>
      </c>
      <c r="M103" s="287">
        <v>48.4</v>
      </c>
      <c r="N103" s="287">
        <v>49</v>
      </c>
      <c r="O103" s="287"/>
      <c r="P103" s="287"/>
      <c r="Q103" s="287">
        <v>41</v>
      </c>
      <c r="R103" s="287">
        <v>46.7</v>
      </c>
      <c r="S103" s="287">
        <v>46.7</v>
      </c>
      <c r="T103" s="287">
        <v>40</v>
      </c>
      <c r="U103" s="287">
        <v>30.6</v>
      </c>
      <c r="V103" s="287">
        <v>28.2</v>
      </c>
      <c r="W103" s="287">
        <v>42.1</v>
      </c>
      <c r="X103" s="287">
        <v>39.5</v>
      </c>
      <c r="Y103" s="287">
        <v>59.8</v>
      </c>
      <c r="Z103" s="287">
        <v>75.900000000000006</v>
      </c>
      <c r="AA103" s="287">
        <v>72.8</v>
      </c>
      <c r="AB103" s="287">
        <v>37.200000000000003</v>
      </c>
      <c r="AC103" s="287">
        <v>53.9</v>
      </c>
      <c r="AD103" s="287">
        <v>30.8</v>
      </c>
      <c r="AE103" s="287">
        <v>41.4</v>
      </c>
      <c r="AF103" s="287">
        <v>52.5</v>
      </c>
      <c r="AG103" s="288"/>
      <c r="AH103" s="226">
        <f t="shared" si="25"/>
        <v>75.900000000000006</v>
      </c>
      <c r="AI103" s="284">
        <f t="shared" si="26"/>
        <v>0.79166666666666663</v>
      </c>
    </row>
    <row r="104" spans="1:37" x14ac:dyDescent="0.25">
      <c r="A104" s="286" t="s">
        <v>108</v>
      </c>
      <c r="B104" s="287">
        <v>48.4</v>
      </c>
      <c r="C104" s="287">
        <v>38</v>
      </c>
      <c r="D104" s="287">
        <v>32.200000000000003</v>
      </c>
      <c r="E104" s="287">
        <v>50.6</v>
      </c>
      <c r="F104" s="287">
        <v>44.7</v>
      </c>
      <c r="G104" s="287">
        <v>39.799999999999997</v>
      </c>
      <c r="H104" s="287">
        <v>44.7</v>
      </c>
      <c r="I104" s="287">
        <v>44.7</v>
      </c>
      <c r="J104" s="287">
        <v>44.7</v>
      </c>
      <c r="K104" s="287">
        <v>44.7</v>
      </c>
      <c r="L104" s="287">
        <v>44.7</v>
      </c>
      <c r="M104" s="287">
        <v>38.9</v>
      </c>
      <c r="N104" s="287">
        <v>66</v>
      </c>
      <c r="O104" s="287"/>
      <c r="P104" s="287"/>
      <c r="Q104" s="287">
        <v>-17</v>
      </c>
      <c r="R104" s="287">
        <v>-17.100000000000001</v>
      </c>
      <c r="S104" s="287">
        <v>-17.100000000000001</v>
      </c>
      <c r="T104" s="287">
        <v>-14.3</v>
      </c>
      <c r="U104" s="287">
        <v>-39.200000000000003</v>
      </c>
      <c r="V104" s="287">
        <v>-26.2</v>
      </c>
      <c r="W104" s="287">
        <v>-5.0999999999999996</v>
      </c>
      <c r="X104" s="287">
        <v>-13.5</v>
      </c>
      <c r="Y104" s="287">
        <v>11.9</v>
      </c>
      <c r="Z104" s="287">
        <v>11.9</v>
      </c>
      <c r="AA104" s="287">
        <v>52.2</v>
      </c>
      <c r="AB104" s="287">
        <v>63.9</v>
      </c>
      <c r="AC104" s="287">
        <v>68.2</v>
      </c>
      <c r="AD104" s="287">
        <v>49</v>
      </c>
      <c r="AE104" s="287">
        <v>36.1</v>
      </c>
      <c r="AF104" s="287">
        <v>59.8</v>
      </c>
      <c r="AG104" s="289"/>
      <c r="AH104" s="226">
        <f t="shared" si="25"/>
        <v>68.2</v>
      </c>
      <c r="AI104" s="284">
        <f t="shared" si="26"/>
        <v>0.85416666666666663</v>
      </c>
    </row>
    <row r="105" spans="1:37" x14ac:dyDescent="0.25">
      <c r="A105" s="290" t="s">
        <v>109</v>
      </c>
      <c r="B105" s="274">
        <v>103</v>
      </c>
      <c r="C105" s="274">
        <v>104.5</v>
      </c>
      <c r="D105" s="274">
        <v>108</v>
      </c>
      <c r="E105" s="274">
        <v>115</v>
      </c>
      <c r="F105" s="274">
        <v>103.8</v>
      </c>
      <c r="G105" s="274">
        <v>115</v>
      </c>
      <c r="H105" s="274">
        <v>103.8</v>
      </c>
      <c r="I105" s="274">
        <v>103.8</v>
      </c>
      <c r="J105" s="274">
        <v>103.8</v>
      </c>
      <c r="K105" s="274">
        <v>65.400000000000006</v>
      </c>
      <c r="L105" s="274">
        <v>64.3</v>
      </c>
      <c r="M105" s="274">
        <v>101.4</v>
      </c>
      <c r="N105" s="274">
        <v>100</v>
      </c>
      <c r="O105" s="274"/>
      <c r="P105" s="274"/>
      <c r="Q105" s="274">
        <v>111</v>
      </c>
      <c r="R105" s="274">
        <v>97.2</v>
      </c>
      <c r="S105" s="274">
        <v>97.2</v>
      </c>
      <c r="T105" s="274">
        <v>93.6</v>
      </c>
      <c r="U105" s="274">
        <v>91.2</v>
      </c>
      <c r="V105" s="274">
        <v>92.2</v>
      </c>
      <c r="W105" s="274">
        <v>108.1</v>
      </c>
      <c r="X105" s="274">
        <v>99.8</v>
      </c>
      <c r="Y105" s="274">
        <v>94.1</v>
      </c>
      <c r="Z105" s="274">
        <v>91.6</v>
      </c>
      <c r="AA105" s="274">
        <v>35.200000000000003</v>
      </c>
      <c r="AB105" s="274">
        <v>96.3</v>
      </c>
      <c r="AC105" s="274">
        <v>97.6</v>
      </c>
      <c r="AD105" s="274">
        <v>100.4</v>
      </c>
      <c r="AE105" s="274">
        <v>110.1</v>
      </c>
      <c r="AF105" s="274">
        <v>107.9</v>
      </c>
      <c r="AG105" s="289"/>
      <c r="AH105" s="226">
        <f t="shared" si="25"/>
        <v>115</v>
      </c>
      <c r="AI105" s="284">
        <f t="shared" si="26"/>
        <v>0.125</v>
      </c>
    </row>
    <row r="106" spans="1:37" ht="15.75" thickBot="1" x14ac:dyDescent="0.3">
      <c r="A106" s="290" t="s">
        <v>110</v>
      </c>
      <c r="B106" s="274">
        <v>90</v>
      </c>
      <c r="C106" s="274">
        <v>95</v>
      </c>
      <c r="D106" s="274">
        <v>82.2</v>
      </c>
      <c r="E106" s="274">
        <v>92</v>
      </c>
      <c r="F106" s="274">
        <v>89.3</v>
      </c>
      <c r="G106" s="274">
        <v>57.6</v>
      </c>
      <c r="H106" s="274">
        <v>89.3</v>
      </c>
      <c r="I106" s="274">
        <v>89.3</v>
      </c>
      <c r="J106" s="274"/>
      <c r="K106" s="274"/>
      <c r="L106" s="274"/>
      <c r="M106" s="274">
        <v>60.4</v>
      </c>
      <c r="N106" s="274">
        <v>50</v>
      </c>
      <c r="O106" s="274"/>
      <c r="P106" s="274"/>
      <c r="Q106" s="274">
        <v>66</v>
      </c>
      <c r="R106" s="274">
        <v>72.8</v>
      </c>
      <c r="S106" s="274">
        <v>72.8</v>
      </c>
      <c r="T106" s="274">
        <v>70.7</v>
      </c>
      <c r="U106" s="274">
        <v>81.7</v>
      </c>
      <c r="V106" s="274">
        <v>73.8</v>
      </c>
      <c r="W106" s="274">
        <v>69</v>
      </c>
      <c r="X106" s="274">
        <v>65.8</v>
      </c>
      <c r="Y106" s="274">
        <v>53.7</v>
      </c>
      <c r="Z106" s="274">
        <v>44.3</v>
      </c>
      <c r="AA106" s="274"/>
      <c r="AB106" s="274">
        <v>76.3</v>
      </c>
      <c r="AC106" s="274">
        <v>69.599999999999994</v>
      </c>
      <c r="AD106" s="274">
        <v>90.4</v>
      </c>
      <c r="AE106" s="274">
        <v>91.7</v>
      </c>
      <c r="AF106" s="274">
        <v>85.6</v>
      </c>
      <c r="AG106" s="289"/>
      <c r="AH106" s="226">
        <f t="shared" si="25"/>
        <v>95</v>
      </c>
      <c r="AI106" s="284">
        <f t="shared" si="26"/>
        <v>4.1666666666666664E-2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7">SUM(C108:C212)</f>
        <v>0</v>
      </c>
      <c r="D213" s="307">
        <f t="shared" si="27"/>
        <v>0</v>
      </c>
      <c r="E213" s="307">
        <f t="shared" si="27"/>
        <v>0</v>
      </c>
      <c r="F213" s="307">
        <f t="shared" si="27"/>
        <v>0</v>
      </c>
      <c r="G213" s="307">
        <f t="shared" si="27"/>
        <v>0</v>
      </c>
      <c r="H213" s="307">
        <f t="shared" si="27"/>
        <v>0</v>
      </c>
      <c r="I213" s="307">
        <f t="shared" si="27"/>
        <v>0</v>
      </c>
      <c r="J213" s="307">
        <f t="shared" si="27"/>
        <v>0</v>
      </c>
      <c r="K213" s="307">
        <f t="shared" si="27"/>
        <v>0</v>
      </c>
      <c r="L213" s="307">
        <f t="shared" si="27"/>
        <v>0</v>
      </c>
      <c r="M213" s="307">
        <f t="shared" si="27"/>
        <v>0</v>
      </c>
      <c r="N213" s="307">
        <f t="shared" si="27"/>
        <v>0</v>
      </c>
      <c r="O213" s="307">
        <f t="shared" si="27"/>
        <v>0</v>
      </c>
      <c r="P213" s="307">
        <f t="shared" si="27"/>
        <v>0</v>
      </c>
      <c r="Q213" s="307">
        <f t="shared" si="27"/>
        <v>0</v>
      </c>
      <c r="R213" s="307">
        <f t="shared" si="27"/>
        <v>0</v>
      </c>
      <c r="S213" s="307">
        <f t="shared" si="27"/>
        <v>0</v>
      </c>
      <c r="T213" s="307">
        <f t="shared" si="27"/>
        <v>0</v>
      </c>
      <c r="U213" s="307">
        <f t="shared" si="27"/>
        <v>0</v>
      </c>
      <c r="V213" s="307">
        <f t="shared" si="27"/>
        <v>0</v>
      </c>
      <c r="W213" s="307">
        <f t="shared" si="27"/>
        <v>0</v>
      </c>
      <c r="X213" s="307">
        <f t="shared" si="27"/>
        <v>0</v>
      </c>
      <c r="Y213" s="307">
        <f t="shared" si="27"/>
        <v>0</v>
      </c>
      <c r="Z213" s="307">
        <f t="shared" si="27"/>
        <v>0</v>
      </c>
      <c r="AA213" s="307">
        <f t="shared" si="27"/>
        <v>0</v>
      </c>
      <c r="AB213" s="307">
        <f t="shared" si="27"/>
        <v>0</v>
      </c>
      <c r="AC213" s="307">
        <f t="shared" si="27"/>
        <v>0</v>
      </c>
      <c r="AD213" s="307">
        <f t="shared" si="27"/>
        <v>0</v>
      </c>
      <c r="AE213" s="307">
        <f t="shared" si="27"/>
        <v>0</v>
      </c>
      <c r="AF213" s="308">
        <f t="shared" si="27"/>
        <v>0</v>
      </c>
      <c r="AG213" s="309">
        <f t="shared" si="27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8">AF215</f>
        <v>0</v>
      </c>
      <c r="C215" s="312">
        <v>0.3</v>
      </c>
      <c r="D215" s="312">
        <f t="shared" ref="D215:P220" si="29">C215</f>
        <v>0.3</v>
      </c>
      <c r="E215" s="312">
        <f t="shared" si="29"/>
        <v>0.3</v>
      </c>
      <c r="F215" s="312">
        <f t="shared" si="29"/>
        <v>0.3</v>
      </c>
      <c r="G215" s="312">
        <f t="shared" si="29"/>
        <v>0.3</v>
      </c>
      <c r="H215" s="312">
        <f t="shared" si="29"/>
        <v>0.3</v>
      </c>
      <c r="I215" s="312">
        <f t="shared" si="29"/>
        <v>0.3</v>
      </c>
      <c r="J215" s="312">
        <f t="shared" si="29"/>
        <v>0.3</v>
      </c>
      <c r="K215" s="312">
        <f t="shared" si="29"/>
        <v>0.3</v>
      </c>
      <c r="L215" s="312">
        <f t="shared" si="29"/>
        <v>0.3</v>
      </c>
      <c r="M215" s="312">
        <f t="shared" si="29"/>
        <v>0.3</v>
      </c>
      <c r="N215" s="312">
        <f t="shared" si="29"/>
        <v>0.3</v>
      </c>
      <c r="O215" s="312">
        <f t="shared" si="29"/>
        <v>0.3</v>
      </c>
      <c r="P215" s="312">
        <f t="shared" si="29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8"/>
        <v>0</v>
      </c>
      <c r="C216" s="299">
        <v>0.4</v>
      </c>
      <c r="D216" s="299">
        <f t="shared" si="29"/>
        <v>0.4</v>
      </c>
      <c r="E216" s="299">
        <f t="shared" si="29"/>
        <v>0.4</v>
      </c>
      <c r="F216" s="299">
        <f t="shared" si="29"/>
        <v>0.4</v>
      </c>
      <c r="G216" s="299">
        <f t="shared" si="29"/>
        <v>0.4</v>
      </c>
      <c r="H216" s="299">
        <f t="shared" si="29"/>
        <v>0.4</v>
      </c>
      <c r="I216" s="299">
        <f t="shared" si="29"/>
        <v>0.4</v>
      </c>
      <c r="J216" s="299">
        <f t="shared" si="29"/>
        <v>0.4</v>
      </c>
      <c r="K216" s="299">
        <f t="shared" si="29"/>
        <v>0.4</v>
      </c>
      <c r="L216" s="299">
        <f t="shared" si="29"/>
        <v>0.4</v>
      </c>
      <c r="M216" s="299">
        <f t="shared" si="29"/>
        <v>0.4</v>
      </c>
      <c r="N216" s="299">
        <f t="shared" si="29"/>
        <v>0.4</v>
      </c>
      <c r="O216" s="299">
        <f t="shared" si="29"/>
        <v>0.4</v>
      </c>
      <c r="P216" s="299">
        <f t="shared" si="29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8"/>
        <v>0</v>
      </c>
      <c r="C217" s="299">
        <v>1.5</v>
      </c>
      <c r="D217" s="299">
        <f t="shared" si="29"/>
        <v>1.5</v>
      </c>
      <c r="E217" s="299">
        <f t="shared" si="29"/>
        <v>1.5</v>
      </c>
      <c r="F217" s="299">
        <f t="shared" si="29"/>
        <v>1.5</v>
      </c>
      <c r="G217" s="299">
        <f t="shared" si="29"/>
        <v>1.5</v>
      </c>
      <c r="H217" s="299">
        <f t="shared" si="29"/>
        <v>1.5</v>
      </c>
      <c r="I217" s="299">
        <f t="shared" si="29"/>
        <v>1.5</v>
      </c>
      <c r="J217" s="299">
        <f t="shared" si="29"/>
        <v>1.5</v>
      </c>
      <c r="K217" s="299">
        <f t="shared" si="29"/>
        <v>1.5</v>
      </c>
      <c r="L217" s="299">
        <f t="shared" si="29"/>
        <v>1.5</v>
      </c>
      <c r="M217" s="299">
        <f t="shared" si="29"/>
        <v>1.5</v>
      </c>
      <c r="N217" s="299">
        <f t="shared" si="29"/>
        <v>1.5</v>
      </c>
      <c r="O217" s="299">
        <f t="shared" si="29"/>
        <v>1.5</v>
      </c>
      <c r="P217" s="299">
        <f t="shared" si="29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8"/>
        <v>0</v>
      </c>
      <c r="C218" s="299">
        <v>0.3</v>
      </c>
      <c r="D218" s="299">
        <f t="shared" si="29"/>
        <v>0.3</v>
      </c>
      <c r="E218" s="299">
        <f t="shared" si="29"/>
        <v>0.3</v>
      </c>
      <c r="F218" s="299">
        <f t="shared" si="29"/>
        <v>0.3</v>
      </c>
      <c r="G218" s="299">
        <f t="shared" si="29"/>
        <v>0.3</v>
      </c>
      <c r="H218" s="299">
        <f t="shared" si="29"/>
        <v>0.3</v>
      </c>
      <c r="I218" s="299">
        <f t="shared" si="29"/>
        <v>0.3</v>
      </c>
      <c r="J218" s="299">
        <f t="shared" si="29"/>
        <v>0.3</v>
      </c>
      <c r="K218" s="299">
        <f t="shared" si="29"/>
        <v>0.3</v>
      </c>
      <c r="L218" s="299">
        <f t="shared" si="29"/>
        <v>0.3</v>
      </c>
      <c r="M218" s="299">
        <f t="shared" si="29"/>
        <v>0.3</v>
      </c>
      <c r="N218" s="299">
        <f t="shared" si="29"/>
        <v>0.3</v>
      </c>
      <c r="O218" s="299">
        <f t="shared" si="29"/>
        <v>0.3</v>
      </c>
      <c r="P218" s="299">
        <f t="shared" si="29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8"/>
        <v>0</v>
      </c>
      <c r="C219" s="299">
        <v>0.4</v>
      </c>
      <c r="D219" s="299">
        <f t="shared" si="29"/>
        <v>0.4</v>
      </c>
      <c r="E219" s="299">
        <f t="shared" si="29"/>
        <v>0.4</v>
      </c>
      <c r="F219" s="299">
        <f t="shared" si="29"/>
        <v>0.4</v>
      </c>
      <c r="G219" s="299">
        <f t="shared" si="29"/>
        <v>0.4</v>
      </c>
      <c r="H219" s="299">
        <f t="shared" si="29"/>
        <v>0.4</v>
      </c>
      <c r="I219" s="299">
        <f t="shared" si="29"/>
        <v>0.4</v>
      </c>
      <c r="J219" s="299">
        <f t="shared" si="29"/>
        <v>0.4</v>
      </c>
      <c r="K219" s="299">
        <f t="shared" si="29"/>
        <v>0.4</v>
      </c>
      <c r="L219" s="299">
        <f t="shared" si="29"/>
        <v>0.4</v>
      </c>
      <c r="M219" s="299">
        <f t="shared" si="29"/>
        <v>0.4</v>
      </c>
      <c r="N219" s="299">
        <f t="shared" si="29"/>
        <v>0.4</v>
      </c>
      <c r="O219" s="299">
        <f t="shared" si="29"/>
        <v>0.4</v>
      </c>
      <c r="P219" s="299">
        <f t="shared" si="29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8"/>
        <v>0</v>
      </c>
      <c r="C220" s="303">
        <v>0.64</v>
      </c>
      <c r="D220" s="303">
        <f t="shared" si="29"/>
        <v>0.64</v>
      </c>
      <c r="E220" s="303">
        <f t="shared" si="29"/>
        <v>0.64</v>
      </c>
      <c r="F220" s="303">
        <f t="shared" si="29"/>
        <v>0.64</v>
      </c>
      <c r="G220" s="303">
        <f t="shared" si="29"/>
        <v>0.64</v>
      </c>
      <c r="H220" s="303">
        <f t="shared" si="29"/>
        <v>0.64</v>
      </c>
      <c r="I220" s="303">
        <f t="shared" si="29"/>
        <v>0.64</v>
      </c>
      <c r="J220" s="303">
        <f t="shared" si="29"/>
        <v>0.64</v>
      </c>
      <c r="K220" s="303">
        <f t="shared" si="29"/>
        <v>0.64</v>
      </c>
      <c r="L220" s="303">
        <f t="shared" si="29"/>
        <v>0.64</v>
      </c>
      <c r="M220" s="303">
        <f t="shared" si="29"/>
        <v>0.64</v>
      </c>
      <c r="N220" s="303">
        <f t="shared" si="29"/>
        <v>0.64</v>
      </c>
      <c r="O220" s="303">
        <f t="shared" si="29"/>
        <v>0.64</v>
      </c>
      <c r="P220" s="303">
        <f t="shared" si="29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30">SUM(D215:D220)</f>
        <v>3.54</v>
      </c>
      <c r="E221" s="307">
        <f t="shared" si="30"/>
        <v>3.54</v>
      </c>
      <c r="F221" s="307">
        <f t="shared" si="30"/>
        <v>3.54</v>
      </c>
      <c r="G221" s="307">
        <f t="shared" si="30"/>
        <v>3.54</v>
      </c>
      <c r="H221" s="307">
        <f t="shared" si="30"/>
        <v>3.54</v>
      </c>
      <c r="I221" s="307">
        <f t="shared" si="30"/>
        <v>3.54</v>
      </c>
      <c r="J221" s="307">
        <f t="shared" si="30"/>
        <v>3.54</v>
      </c>
      <c r="K221" s="307">
        <f t="shared" si="30"/>
        <v>3.54</v>
      </c>
      <c r="L221" s="307">
        <f t="shared" si="30"/>
        <v>3.54</v>
      </c>
      <c r="M221" s="307">
        <f>SUM(M215:M220)</f>
        <v>3.54</v>
      </c>
      <c r="N221" s="307">
        <f t="shared" ref="N221:S221" si="31">SUM(N215:N220)</f>
        <v>3.54</v>
      </c>
      <c r="O221" s="307">
        <f t="shared" si="31"/>
        <v>3.54</v>
      </c>
      <c r="P221" s="307">
        <f t="shared" si="31"/>
        <v>3.54</v>
      </c>
      <c r="Q221" s="307">
        <f t="shared" si="31"/>
        <v>0</v>
      </c>
      <c r="R221" s="307">
        <f t="shared" si="31"/>
        <v>0</v>
      </c>
      <c r="S221" s="307">
        <f t="shared" si="31"/>
        <v>0</v>
      </c>
      <c r="T221" s="307">
        <f>SUM(T215:T220)</f>
        <v>0</v>
      </c>
      <c r="U221" s="307">
        <f t="shared" ref="U221:AG221" si="32">SUM(U215:U220)</f>
        <v>0</v>
      </c>
      <c r="V221" s="307">
        <f t="shared" si="32"/>
        <v>0</v>
      </c>
      <c r="W221" s="307">
        <f t="shared" si="32"/>
        <v>0</v>
      </c>
      <c r="X221" s="307">
        <f t="shared" si="32"/>
        <v>0</v>
      </c>
      <c r="Y221" s="307">
        <f t="shared" si="32"/>
        <v>0</v>
      </c>
      <c r="Z221" s="307">
        <f t="shared" si="32"/>
        <v>0</v>
      </c>
      <c r="AA221" s="307">
        <f t="shared" si="32"/>
        <v>0</v>
      </c>
      <c r="AB221" s="307">
        <f t="shared" si="32"/>
        <v>0</v>
      </c>
      <c r="AC221" s="307">
        <f t="shared" si="32"/>
        <v>0</v>
      </c>
      <c r="AD221" s="307">
        <f t="shared" si="32"/>
        <v>0</v>
      </c>
      <c r="AE221" s="307">
        <f t="shared" si="32"/>
        <v>0</v>
      </c>
      <c r="AF221" s="307">
        <f t="shared" si="32"/>
        <v>0</v>
      </c>
      <c r="AG221" s="317">
        <f t="shared" si="32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1755.7399999999998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15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2079/02/15)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2079/02/15)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3">B79</f>
        <v>1762.6399999999999</v>
      </c>
      <c r="U235" s="343">
        <f t="shared" si="33"/>
        <v>1748.9399999999998</v>
      </c>
      <c r="V235" s="343">
        <f t="shared" si="33"/>
        <v>1712.6399999999999</v>
      </c>
      <c r="W235" s="343">
        <f t="shared" si="33"/>
        <v>1716.6399999999999</v>
      </c>
      <c r="X235" s="343">
        <f t="shared" si="33"/>
        <v>1716.6399999999999</v>
      </c>
      <c r="Y235" s="343">
        <f t="shared" si="33"/>
        <v>1716.6399999999999</v>
      </c>
      <c r="Z235" s="343">
        <f t="shared" si="33"/>
        <v>1716.6399999999999</v>
      </c>
      <c r="AA235" s="343">
        <f t="shared" si="33"/>
        <v>1716.6399999999999</v>
      </c>
      <c r="AB235" s="343">
        <f t="shared" si="33"/>
        <v>1694.84</v>
      </c>
      <c r="AC235" s="343">
        <f t="shared" si="33"/>
        <v>1694.84</v>
      </c>
      <c r="AD235" s="343">
        <f t="shared" si="33"/>
        <v>1716.6399999999999</v>
      </c>
      <c r="AE235" s="343">
        <f t="shared" si="33"/>
        <v>1755.7399999999998</v>
      </c>
      <c r="AF235" s="343">
        <f t="shared" si="33"/>
        <v>1714.6399999999999</v>
      </c>
      <c r="AG235" s="343">
        <f t="shared" si="33"/>
        <v>1739.6399999999999</v>
      </c>
      <c r="AH235" s="343">
        <f t="shared" si="33"/>
        <v>1744.6399999999999</v>
      </c>
      <c r="AI235" s="343">
        <f t="shared" si="33"/>
        <v>1795.6399999999999</v>
      </c>
      <c r="AJ235" s="343">
        <f t="shared" si="33"/>
        <v>1803.6399999999999</v>
      </c>
      <c r="AK235" s="343">
        <f t="shared" si="33"/>
        <v>1795.34</v>
      </c>
      <c r="AL235" s="343">
        <f t="shared" si="33"/>
        <v>1822.74</v>
      </c>
      <c r="AM235" s="343">
        <f t="shared" si="33"/>
        <v>1844.04</v>
      </c>
      <c r="AN235" s="343">
        <f t="shared" si="33"/>
        <v>1810.74</v>
      </c>
      <c r="AO235" s="343">
        <f t="shared" si="33"/>
        <v>1805.84</v>
      </c>
      <c r="AP235" s="343">
        <f t="shared" si="33"/>
        <v>1804.14</v>
      </c>
      <c r="AQ235" s="343">
        <f t="shared" si="33"/>
        <v>1801.54</v>
      </c>
      <c r="AR235" s="343">
        <f t="shared" si="33"/>
        <v>1866.7400000000002</v>
      </c>
      <c r="AS235" s="343">
        <f t="shared" si="33"/>
        <v>1875.5400000000002</v>
      </c>
      <c r="AT235" s="343">
        <f t="shared" si="33"/>
        <v>1874.54</v>
      </c>
      <c r="AU235" s="343">
        <f t="shared" si="33"/>
        <v>1844.2399999999998</v>
      </c>
      <c r="AV235" s="343">
        <f t="shared" si="33"/>
        <v>1847.44</v>
      </c>
      <c r="AW235" s="343">
        <f t="shared" si="33"/>
        <v>1788.6399999999999</v>
      </c>
      <c r="AX235" s="343">
        <f t="shared" si="33"/>
        <v>1743.34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4">C220</f>
        <v>0.64</v>
      </c>
      <c r="C256" s="346">
        <f t="shared" si="34"/>
        <v>0.64</v>
      </c>
      <c r="D256" s="346">
        <f t="shared" si="34"/>
        <v>0.64</v>
      </c>
      <c r="E256" s="346">
        <f t="shared" si="34"/>
        <v>0.64</v>
      </c>
      <c r="F256" s="346">
        <f t="shared" si="34"/>
        <v>0.64</v>
      </c>
      <c r="G256" s="346">
        <f t="shared" si="34"/>
        <v>0.64</v>
      </c>
      <c r="H256" s="346">
        <f t="shared" si="34"/>
        <v>0.64</v>
      </c>
      <c r="I256" s="346">
        <f t="shared" si="34"/>
        <v>0.64</v>
      </c>
      <c r="J256" s="346">
        <f t="shared" si="34"/>
        <v>0.64</v>
      </c>
      <c r="K256" s="346">
        <f t="shared" si="34"/>
        <v>0.64</v>
      </c>
      <c r="L256" s="346">
        <f t="shared" si="34"/>
        <v>0.64</v>
      </c>
      <c r="M256" s="346">
        <f t="shared" si="34"/>
        <v>0.64</v>
      </c>
      <c r="N256" s="346">
        <f t="shared" si="34"/>
        <v>0.64</v>
      </c>
      <c r="O256" s="346">
        <f t="shared" si="34"/>
        <v>0.64</v>
      </c>
      <c r="P256" s="346">
        <f t="shared" si="34"/>
        <v>0</v>
      </c>
      <c r="Q256" s="346">
        <f t="shared" si="34"/>
        <v>0</v>
      </c>
      <c r="R256" s="346">
        <f t="shared" si="34"/>
        <v>0</v>
      </c>
      <c r="S256" s="346">
        <f t="shared" si="34"/>
        <v>0</v>
      </c>
      <c r="T256" s="346">
        <f t="shared" si="34"/>
        <v>0</v>
      </c>
      <c r="U256" s="346">
        <f t="shared" si="34"/>
        <v>0</v>
      </c>
      <c r="V256" s="346">
        <f t="shared" si="34"/>
        <v>0</v>
      </c>
      <c r="W256" s="346">
        <f t="shared" si="34"/>
        <v>0</v>
      </c>
      <c r="X256" s="346">
        <f t="shared" si="34"/>
        <v>0</v>
      </c>
      <c r="Y256" s="346">
        <f t="shared" si="34"/>
        <v>0</v>
      </c>
      <c r="Z256" s="346">
        <f t="shared" si="34"/>
        <v>0</v>
      </c>
      <c r="AA256" s="346">
        <f t="shared" si="34"/>
        <v>0</v>
      </c>
      <c r="AB256" s="346">
        <f t="shared" si="34"/>
        <v>0</v>
      </c>
      <c r="AC256" s="346">
        <f t="shared" si="34"/>
        <v>0</v>
      </c>
      <c r="AD256" s="346">
        <f t="shared" si="34"/>
        <v>0</v>
      </c>
      <c r="AE256" s="346">
        <f t="shared" si="34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5">IF(C224&lt;100,"",C224-520)</f>
        <v/>
      </c>
      <c r="D257" s="347" t="str">
        <f t="shared" si="35"/>
        <v/>
      </c>
      <c r="E257" s="347" t="str">
        <f t="shared" si="35"/>
        <v/>
      </c>
      <c r="F257" s="347" t="str">
        <f t="shared" si="35"/>
        <v/>
      </c>
      <c r="G257" s="347" t="str">
        <f t="shared" si="35"/>
        <v/>
      </c>
      <c r="H257" s="347" t="str">
        <f t="shared" si="35"/>
        <v/>
      </c>
      <c r="I257" s="347" t="str">
        <f t="shared" si="35"/>
        <v/>
      </c>
      <c r="J257" s="347" t="str">
        <f t="shared" si="35"/>
        <v/>
      </c>
      <c r="K257" s="347" t="str">
        <f t="shared" si="35"/>
        <v/>
      </c>
      <c r="L257" s="347" t="str">
        <f t="shared" si="35"/>
        <v/>
      </c>
      <c r="M257" s="347" t="str">
        <f t="shared" si="35"/>
        <v/>
      </c>
      <c r="N257" s="347" t="str">
        <f t="shared" si="35"/>
        <v/>
      </c>
      <c r="O257" s="347" t="str">
        <f t="shared" si="35"/>
        <v/>
      </c>
      <c r="P257" s="347" t="str">
        <f t="shared" si="35"/>
        <v/>
      </c>
      <c r="Q257" s="347" t="str">
        <f t="shared" si="35"/>
        <v/>
      </c>
      <c r="R257" s="347" t="str">
        <f t="shared" si="35"/>
        <v/>
      </c>
      <c r="S257" s="347" t="str">
        <f t="shared" si="35"/>
        <v/>
      </c>
      <c r="T257" s="347" t="str">
        <f t="shared" si="35"/>
        <v/>
      </c>
      <c r="U257" s="347" t="str">
        <f t="shared" si="35"/>
        <v/>
      </c>
      <c r="V257" s="347" t="str">
        <f t="shared" si="35"/>
        <v/>
      </c>
      <c r="W257" s="347" t="str">
        <f t="shared" si="35"/>
        <v/>
      </c>
      <c r="X257" s="347" t="str">
        <f t="shared" si="35"/>
        <v/>
      </c>
      <c r="Y257" s="347" t="str">
        <f t="shared" si="35"/>
        <v/>
      </c>
      <c r="Z257" s="347" t="str">
        <f t="shared" si="35"/>
        <v/>
      </c>
      <c r="AA257" s="347" t="str">
        <f t="shared" si="35"/>
        <v/>
      </c>
      <c r="AB257" s="347" t="str">
        <f t="shared" si="35"/>
        <v/>
      </c>
      <c r="AC257" s="347" t="str">
        <f t="shared" si="35"/>
        <v/>
      </c>
      <c r="AD257" s="347" t="str">
        <f t="shared" si="35"/>
        <v/>
      </c>
      <c r="AE257" s="347" t="str">
        <f t="shared" si="35"/>
        <v/>
      </c>
      <c r="AF257" s="347" t="str">
        <f t="shared" si="35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6">IF(B225&lt;100,"",B225-620)</f>
        <v/>
      </c>
      <c r="C258" s="347" t="str">
        <f t="shared" si="36"/>
        <v/>
      </c>
      <c r="D258" s="347" t="str">
        <f t="shared" si="36"/>
        <v/>
      </c>
      <c r="E258" s="347" t="str">
        <f t="shared" si="36"/>
        <v/>
      </c>
      <c r="F258" s="347" t="str">
        <f t="shared" si="36"/>
        <v/>
      </c>
      <c r="G258" s="347" t="str">
        <f t="shared" si="36"/>
        <v/>
      </c>
      <c r="H258" s="347" t="str">
        <f t="shared" si="36"/>
        <v/>
      </c>
      <c r="I258" s="347" t="str">
        <f t="shared" si="36"/>
        <v/>
      </c>
      <c r="J258" s="347" t="str">
        <f t="shared" si="36"/>
        <v/>
      </c>
      <c r="K258" s="347" t="str">
        <f t="shared" si="36"/>
        <v/>
      </c>
      <c r="L258" s="347" t="str">
        <f t="shared" si="36"/>
        <v/>
      </c>
      <c r="M258" s="347" t="str">
        <f t="shared" si="36"/>
        <v/>
      </c>
      <c r="N258" s="347" t="str">
        <f t="shared" si="36"/>
        <v/>
      </c>
      <c r="O258" s="347" t="str">
        <f t="shared" si="36"/>
        <v/>
      </c>
      <c r="P258" s="347" t="str">
        <f t="shared" si="36"/>
        <v/>
      </c>
      <c r="Q258" s="347" t="str">
        <f t="shared" si="36"/>
        <v/>
      </c>
      <c r="R258" s="347" t="str">
        <f t="shared" si="36"/>
        <v/>
      </c>
      <c r="S258" s="347" t="str">
        <f t="shared" si="36"/>
        <v/>
      </c>
      <c r="T258" s="347" t="str">
        <f t="shared" si="36"/>
        <v/>
      </c>
      <c r="U258" s="347" t="str">
        <f t="shared" si="36"/>
        <v/>
      </c>
      <c r="V258" s="347" t="str">
        <f t="shared" si="36"/>
        <v/>
      </c>
      <c r="W258" s="347" t="str">
        <f t="shared" si="36"/>
        <v/>
      </c>
      <c r="X258" s="347" t="str">
        <f t="shared" si="36"/>
        <v/>
      </c>
      <c r="Y258" s="347" t="str">
        <f t="shared" si="36"/>
        <v/>
      </c>
      <c r="Z258" s="347" t="str">
        <f t="shared" si="36"/>
        <v/>
      </c>
      <c r="AA258" s="347" t="str">
        <f t="shared" si="36"/>
        <v/>
      </c>
      <c r="AB258" s="347" t="str">
        <f t="shared" si="36"/>
        <v/>
      </c>
      <c r="AC258" s="347" t="str">
        <f t="shared" si="36"/>
        <v/>
      </c>
      <c r="AD258" s="347" t="str">
        <f t="shared" si="36"/>
        <v/>
      </c>
      <c r="AE258" s="347" t="str">
        <f t="shared" si="36"/>
        <v/>
      </c>
      <c r="AF258" s="347" t="str">
        <f t="shared" si="36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7">IF(B226&lt;100,"",B226-330)</f>
        <v/>
      </c>
      <c r="C259" s="347" t="str">
        <f t="shared" si="37"/>
        <v/>
      </c>
      <c r="D259" s="347" t="str">
        <f t="shared" si="37"/>
        <v/>
      </c>
      <c r="E259" s="347" t="str">
        <f t="shared" si="37"/>
        <v/>
      </c>
      <c r="F259" s="347" t="str">
        <f t="shared" si="37"/>
        <v/>
      </c>
      <c r="G259" s="347" t="str">
        <f t="shared" si="37"/>
        <v/>
      </c>
      <c r="H259" s="347" t="str">
        <f t="shared" si="37"/>
        <v/>
      </c>
      <c r="I259" s="347" t="str">
        <f t="shared" si="37"/>
        <v/>
      </c>
      <c r="J259" s="347" t="str">
        <f t="shared" si="37"/>
        <v/>
      </c>
      <c r="K259" s="347" t="str">
        <f t="shared" si="37"/>
        <v/>
      </c>
      <c r="L259" s="347" t="str">
        <f t="shared" si="37"/>
        <v/>
      </c>
      <c r="M259" s="347" t="str">
        <f t="shared" si="37"/>
        <v/>
      </c>
      <c r="N259" s="347" t="str">
        <f t="shared" si="37"/>
        <v/>
      </c>
      <c r="O259" s="347" t="str">
        <f t="shared" si="37"/>
        <v/>
      </c>
      <c r="P259" s="347" t="str">
        <f t="shared" si="37"/>
        <v/>
      </c>
      <c r="Q259" s="347" t="str">
        <f t="shared" si="37"/>
        <v/>
      </c>
      <c r="R259" s="347" t="str">
        <f t="shared" si="37"/>
        <v/>
      </c>
      <c r="S259" s="347" t="str">
        <f t="shared" si="37"/>
        <v/>
      </c>
      <c r="T259" s="347" t="str">
        <f t="shared" si="37"/>
        <v/>
      </c>
      <c r="U259" s="347" t="str">
        <f t="shared" si="37"/>
        <v/>
      </c>
      <c r="V259" s="347" t="str">
        <f t="shared" si="37"/>
        <v/>
      </c>
      <c r="W259" s="347" t="str">
        <f t="shared" si="37"/>
        <v/>
      </c>
      <c r="X259" s="347" t="str">
        <f t="shared" si="37"/>
        <v/>
      </c>
      <c r="Y259" s="347" t="str">
        <f t="shared" si="37"/>
        <v/>
      </c>
      <c r="Z259" s="347" t="str">
        <f t="shared" si="37"/>
        <v/>
      </c>
      <c r="AA259" s="347" t="str">
        <f t="shared" si="37"/>
        <v/>
      </c>
      <c r="AB259" s="347" t="str">
        <f t="shared" si="37"/>
        <v/>
      </c>
      <c r="AC259" s="347" t="str">
        <f t="shared" si="37"/>
        <v/>
      </c>
      <c r="AD259" s="347" t="str">
        <f t="shared" si="37"/>
        <v/>
      </c>
      <c r="AE259" s="347" t="str">
        <f t="shared" si="37"/>
        <v/>
      </c>
      <c r="AF259" s="347" t="str">
        <f t="shared" si="37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8">IF(C227&lt;100,"",C227-1500)</f>
        <v/>
      </c>
      <c r="D260" s="347" t="str">
        <f t="shared" si="38"/>
        <v/>
      </c>
      <c r="E260" s="347" t="str">
        <f t="shared" si="38"/>
        <v/>
      </c>
      <c r="F260" s="347" t="str">
        <f t="shared" si="38"/>
        <v/>
      </c>
      <c r="G260" s="347" t="str">
        <f t="shared" si="38"/>
        <v/>
      </c>
      <c r="H260" s="347" t="str">
        <f t="shared" si="38"/>
        <v/>
      </c>
      <c r="I260" s="347" t="str">
        <f t="shared" si="38"/>
        <v/>
      </c>
      <c r="J260" s="347" t="str">
        <f t="shared" si="38"/>
        <v/>
      </c>
      <c r="K260" s="347" t="str">
        <f t="shared" si="38"/>
        <v/>
      </c>
      <c r="L260" s="347" t="str">
        <f t="shared" si="38"/>
        <v/>
      </c>
      <c r="M260" s="347" t="str">
        <f t="shared" si="38"/>
        <v/>
      </c>
      <c r="N260" s="347" t="str">
        <f t="shared" si="38"/>
        <v/>
      </c>
      <c r="O260" s="347" t="str">
        <f t="shared" si="38"/>
        <v/>
      </c>
      <c r="P260" s="347" t="str">
        <f t="shared" si="38"/>
        <v/>
      </c>
      <c r="Q260" s="347" t="str">
        <f t="shared" si="38"/>
        <v/>
      </c>
      <c r="R260" s="347" t="str">
        <f t="shared" si="38"/>
        <v/>
      </c>
      <c r="S260" s="347" t="str">
        <f t="shared" si="38"/>
        <v/>
      </c>
      <c r="T260" s="347" t="str">
        <f t="shared" si="38"/>
        <v/>
      </c>
      <c r="U260" s="347" t="str">
        <f t="shared" si="38"/>
        <v/>
      </c>
      <c r="V260" s="347" t="str">
        <f t="shared" si="38"/>
        <v/>
      </c>
      <c r="W260" s="347" t="str">
        <f t="shared" si="38"/>
        <v/>
      </c>
      <c r="X260" s="347" t="str">
        <f t="shared" si="38"/>
        <v/>
      </c>
      <c r="Y260" s="347" t="str">
        <f t="shared" si="38"/>
        <v/>
      </c>
      <c r="Z260" s="347" t="str">
        <f t="shared" si="38"/>
        <v/>
      </c>
      <c r="AA260" s="347" t="str">
        <f t="shared" si="38"/>
        <v/>
      </c>
      <c r="AB260" s="347" t="str">
        <f t="shared" si="38"/>
        <v/>
      </c>
      <c r="AC260" s="347" t="str">
        <f t="shared" si="38"/>
        <v/>
      </c>
      <c r="AD260" s="347" t="str">
        <f t="shared" si="38"/>
        <v/>
      </c>
      <c r="AE260" s="347" t="str">
        <f t="shared" si="38"/>
        <v/>
      </c>
      <c r="AF260" s="347" t="str">
        <f t="shared" si="38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Z11:AF11">
    <cfRule type="expression" dxfId="4843" priority="237">
      <formula>B$9&gt;=20/24</formula>
    </cfRule>
    <cfRule type="expression" dxfId="4842" priority="238">
      <formula>AND(B$9&gt;=14/24,B$9&lt;20/24)</formula>
    </cfRule>
    <cfRule type="expression" dxfId="4841" priority="239">
      <formula>AND(B$9&gt;=8/24,B$9&lt;14/24)</formula>
    </cfRule>
    <cfRule type="expression" dxfId="4840" priority="240">
      <formula>B$9&lt;8/24</formula>
    </cfRule>
  </conditionalFormatting>
  <conditionalFormatting sqref="AL4:AL6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839" priority="232">
      <formula>S$9&gt;=20/24</formula>
    </cfRule>
    <cfRule type="expression" dxfId="4838" priority="233">
      <formula>AND(S$9&gt;=14/24,S$9&lt;20/24)</formula>
    </cfRule>
    <cfRule type="expression" dxfId="4837" priority="234">
      <formula>AND(S$9&gt;=8/24,S$9&lt;14/24)</formula>
    </cfRule>
    <cfRule type="expression" dxfId="4836" priority="235">
      <formula>S$9&lt;8/24</formula>
    </cfRule>
  </conditionalFormatting>
  <conditionalFormatting sqref="AG55 B12:C16 S37:AF37 B35:AF35 D11:AF16">
    <cfRule type="expression" dxfId="4835" priority="231">
      <formula>B11&gt;$AG11</formula>
    </cfRule>
  </conditionalFormatting>
  <conditionalFormatting sqref="A89:A102 A11:A14 A49:A76 A85:A87 A191:A221 A16:A30 A36:A47 A107:A178 A32:A33 A81:A83 A78:A79">
    <cfRule type="expression" dxfId="4834" priority="230">
      <formula>$AH11=0</formula>
    </cfRule>
  </conditionalFormatting>
  <conditionalFormatting sqref="A103">
    <cfRule type="expression" dxfId="4833" priority="229">
      <formula>$AH103=0</formula>
    </cfRule>
  </conditionalFormatting>
  <conditionalFormatting sqref="AL3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832" priority="227">
      <formula>$AH35=0</formula>
    </cfRule>
  </conditionalFormatting>
  <conditionalFormatting sqref="A88">
    <cfRule type="expression" dxfId="4831" priority="226">
      <formula>$AH88=0</formula>
    </cfRule>
  </conditionalFormatting>
  <conditionalFormatting sqref="A15">
    <cfRule type="expression" dxfId="4830" priority="225">
      <formula>$AH15=0</formula>
    </cfRule>
  </conditionalFormatting>
  <conditionalFormatting sqref="A185:A190">
    <cfRule type="expression" dxfId="4829" priority="224">
      <formula>$AH185=0</formula>
    </cfRule>
  </conditionalFormatting>
  <conditionalFormatting sqref="A179:A184">
    <cfRule type="expression" dxfId="4828" priority="223">
      <formula>$AH179=0</formula>
    </cfRule>
  </conditionalFormatting>
  <conditionalFormatting sqref="A48">
    <cfRule type="expression" dxfId="4827" priority="222">
      <formula>$AH48=0</formula>
    </cfRule>
  </conditionalFormatting>
  <conditionalFormatting sqref="A84">
    <cfRule type="expression" dxfId="4826" priority="221">
      <formula>$AH84=0</formula>
    </cfRule>
  </conditionalFormatting>
  <conditionalFormatting sqref="C89:AF89">
    <cfRule type="expression" dxfId="4825" priority="217">
      <formula>C$9&gt;=20/24</formula>
    </cfRule>
    <cfRule type="expression" dxfId="4824" priority="218">
      <formula>AND(C$9&gt;=14/24,C$9&lt;20/24)</formula>
    </cfRule>
    <cfRule type="expression" dxfId="4823" priority="219">
      <formula>AND(C$9&gt;=8/24,C$9&lt;14/24)</formula>
    </cfRule>
    <cfRule type="expression" dxfId="4822" priority="220">
      <formula>C$9&lt;8/24</formula>
    </cfRule>
  </conditionalFormatting>
  <conditionalFormatting sqref="AL34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21" priority="243">
      <formula>C$9&gt;=20/24</formula>
    </cfRule>
    <cfRule type="expression" dxfId="4820" priority="244">
      <formula>AND(C$9&gt;=14/24,C$9&lt;20/24)</formula>
    </cfRule>
    <cfRule type="expression" dxfId="4819" priority="245">
      <formula>AND(C$9&gt;=8/24,C$9&lt;14/24)</formula>
    </cfRule>
    <cfRule type="expression" dxfId="4818" priority="246">
      <formula>C$9&lt;8/24</formula>
    </cfRule>
  </conditionalFormatting>
  <conditionalFormatting sqref="A222">
    <cfRule type="expression" dxfId="4817" priority="247">
      <formula>$AH222=0</formula>
    </cfRule>
  </conditionalFormatting>
  <conditionalFormatting sqref="AG234">
    <cfRule type="expression" dxfId="4816" priority="248">
      <formula>B$9&gt;=20/24</formula>
    </cfRule>
    <cfRule type="expression" dxfId="4815" priority="249">
      <formula>AND(B$9&gt;=14/24,B$9&lt;20/24)</formula>
    </cfRule>
    <cfRule type="expression" dxfId="4814" priority="250">
      <formula>AND(B$9&gt;=8/24,B$9&lt;14/24)</formula>
    </cfRule>
    <cfRule type="expression" dxfId="4813" priority="251">
      <formula>B$9&lt;8/24</formula>
    </cfRule>
  </conditionalFormatting>
  <conditionalFormatting sqref="S8">
    <cfRule type="expression" dxfId="4812" priority="212">
      <formula>U$9&gt;=20/24</formula>
    </cfRule>
    <cfRule type="expression" dxfId="4811" priority="213">
      <formula>AND(U$9&gt;=14/24,U$9&lt;20/24)</formula>
    </cfRule>
    <cfRule type="expression" dxfId="4810" priority="214">
      <formula>AND(U$9&gt;=8/24,U$9&lt;14/24)</formula>
    </cfRule>
    <cfRule type="expression" dxfId="4809" priority="215">
      <formula>U$9&lt;8/24</formula>
    </cfRule>
  </conditionalFormatting>
  <conditionalFormatting sqref="AB8">
    <cfRule type="expression" dxfId="4808" priority="208">
      <formula>AD$9&gt;=20/24</formula>
    </cfRule>
    <cfRule type="expression" dxfId="4807" priority="209">
      <formula>AND(AD$9&gt;=14/24,AD$9&lt;20/24)</formula>
    </cfRule>
    <cfRule type="expression" dxfId="4806" priority="210">
      <formula>AND(AD$9&gt;=8/24,AD$9&lt;14/24)</formula>
    </cfRule>
    <cfRule type="expression" dxfId="4805" priority="211">
      <formula>AD$9&lt;8/24</formula>
    </cfRule>
  </conditionalFormatting>
  <conditionalFormatting sqref="AH234:AX234">
    <cfRule type="expression" dxfId="4804" priority="252">
      <formula>AG$9&gt;=20/24</formula>
    </cfRule>
    <cfRule type="expression" dxfId="4803" priority="253">
      <formula>AND(AG$9&gt;=14/24,AG$9&lt;20/24)</formula>
    </cfRule>
    <cfRule type="expression" dxfId="4802" priority="254">
      <formula>AND(AG$9&gt;=8/24,AG$9&lt;14/24)</formula>
    </cfRule>
    <cfRule type="expression" dxfId="4801" priority="255">
      <formula>AG$9&lt;8/24</formula>
    </cfRule>
  </conditionalFormatting>
  <conditionalFormatting sqref="T234">
    <cfRule type="expression" dxfId="4800" priority="256">
      <formula>AX$9&gt;=20/24</formula>
    </cfRule>
    <cfRule type="expression" dxfId="4799" priority="257">
      <formula>AND(AX$9&gt;=14/24,AX$9&lt;20/24)</formula>
    </cfRule>
    <cfRule type="expression" dxfId="4798" priority="258">
      <formula>AND(AX$9&gt;=8/24,AX$9&lt;14/24)</formula>
    </cfRule>
    <cfRule type="expression" dxfId="4797" priority="259">
      <formula>AX$9&lt;8/24</formula>
    </cfRule>
  </conditionalFormatting>
  <conditionalFormatting sqref="A104:A105">
    <cfRule type="expression" dxfId="4796" priority="207">
      <formula>$AH104=0</formula>
    </cfRule>
  </conditionalFormatting>
  <conditionalFormatting sqref="AA44:AF45 S44:W45 C61:AF61 AA36:AF36">
    <cfRule type="expression" dxfId="4795" priority="203">
      <formula>C$9&gt;=20/24</formula>
    </cfRule>
    <cfRule type="expression" dxfId="4794" priority="204">
      <formula>AND(C$9&gt;=14/24,C$9&lt;20/24)</formula>
    </cfRule>
    <cfRule type="expression" dxfId="4793" priority="205">
      <formula>AND(C$9&gt;=8/24,C$9&lt;14/24)</formula>
    </cfRule>
    <cfRule type="expression" dxfId="4792" priority="206">
      <formula>C$9&lt;8/24</formula>
    </cfRule>
  </conditionalFormatting>
  <conditionalFormatting sqref="AA43:AF43 S43:W43">
    <cfRule type="expression" dxfId="4791" priority="199">
      <formula>S$9&gt;=20/24</formula>
    </cfRule>
    <cfRule type="expression" dxfId="4790" priority="200">
      <formula>AND(S$9&gt;=14/24,S$9&lt;20/24)</formula>
    </cfRule>
    <cfRule type="expression" dxfId="4789" priority="201">
      <formula>AND(S$9&gt;=8/24,S$9&lt;14/24)</formula>
    </cfRule>
    <cfRule type="expression" dxfId="4788" priority="202">
      <formula>S$9&lt;8/24</formula>
    </cfRule>
  </conditionalFormatting>
  <conditionalFormatting sqref="AA43:AF45 S43:W45 AA36:AF36">
    <cfRule type="expression" dxfId="4787" priority="198">
      <formula>S36&gt;$AG36</formula>
    </cfRule>
  </conditionalFormatting>
  <conditionalFormatting sqref="C86:AF86 C76:AF76 C62:D64 D65:D71 M57:AF59 D90:AF96 E62:AF71 Z12:AF14 AA16:AF16 AA24:AF26 AA28:AF32 AA18:AF22 M73:AF75">
    <cfRule type="expression" dxfId="4786" priority="194">
      <formula>C$9&gt;=20/24</formula>
    </cfRule>
    <cfRule type="expression" dxfId="4785" priority="195">
      <formula>AND(C$9&gt;=14/24,C$9&lt;20/24)</formula>
    </cfRule>
    <cfRule type="expression" dxfId="4784" priority="196">
      <formula>AND(C$9&gt;=8/24,C$9&lt;14/24)</formula>
    </cfRule>
    <cfRule type="expression" dxfId="4783" priority="197">
      <formula>C$9&lt;8/24</formula>
    </cfRule>
  </conditionalFormatting>
  <conditionalFormatting sqref="AA33:AF33">
    <cfRule type="expression" dxfId="4782" priority="190">
      <formula>AA$9&gt;=20/24</formula>
    </cfRule>
    <cfRule type="expression" dxfId="4781" priority="191">
      <formula>AND(AA$9&gt;=14/24,AA$9&lt;20/24)</formula>
    </cfRule>
    <cfRule type="expression" dxfId="4780" priority="192">
      <formula>AND(AA$9&gt;=8/24,AA$9&lt;14/24)</formula>
    </cfRule>
    <cfRule type="expression" dxfId="4779" priority="193">
      <formula>AA$9&lt;8/24</formula>
    </cfRule>
  </conditionalFormatting>
  <conditionalFormatting sqref="AB46:AF47 C55:AF55 M57:AF59 AA24:AF33 AA18:AF22">
    <cfRule type="expression" dxfId="4778" priority="189">
      <formula>C18&gt;$AG18</formula>
    </cfRule>
  </conditionalFormatting>
  <conditionalFormatting sqref="AA35:AF35">
    <cfRule type="expression" dxfId="4777" priority="185">
      <formula>AA$9&gt;=20/24</formula>
    </cfRule>
    <cfRule type="expression" dxfId="4776" priority="186">
      <formula>AND(AA$9&gt;=14/24,AA$9&lt;20/24)</formula>
    </cfRule>
    <cfRule type="expression" dxfId="4775" priority="187">
      <formula>AND(AA$9&gt;=8/24,AA$9&lt;14/24)</formula>
    </cfRule>
    <cfRule type="expression" dxfId="4774" priority="188">
      <formula>AA$9&lt;8/24</formula>
    </cfRule>
  </conditionalFormatting>
  <conditionalFormatting sqref="AA15:AF15">
    <cfRule type="expression" dxfId="4773" priority="181">
      <formula>AA$9&gt;=20/24</formula>
    </cfRule>
    <cfRule type="expression" dxfId="4772" priority="182">
      <formula>AND(AA$9&gt;=14/24,AA$9&lt;20/24)</formula>
    </cfRule>
    <cfRule type="expression" dxfId="4771" priority="183">
      <formula>AND(AA$9&gt;=8/24,AA$9&lt;14/24)</formula>
    </cfRule>
    <cfRule type="expression" dxfId="4770" priority="184">
      <formula>AA$9&lt;8/24</formula>
    </cfRule>
  </conditionalFormatting>
  <conditionalFormatting sqref="AA34:AF34">
    <cfRule type="expression" dxfId="4769" priority="177">
      <formula>AA$9&gt;=20/24</formula>
    </cfRule>
    <cfRule type="expression" dxfId="4768" priority="178">
      <formula>AND(AA$9&gt;=14/24,AA$9&lt;20/24)</formula>
    </cfRule>
    <cfRule type="expression" dxfId="4767" priority="179">
      <formula>AND(AA$9&gt;=8/24,AA$9&lt;14/24)</formula>
    </cfRule>
    <cfRule type="expression" dxfId="4766" priority="180">
      <formula>AA$9&lt;8/24</formula>
    </cfRule>
  </conditionalFormatting>
  <conditionalFormatting sqref="AA34:AF34">
    <cfRule type="expression" dxfId="4765" priority="176">
      <formula>AA34&gt;$AG34</formula>
    </cfRule>
  </conditionalFormatting>
  <conditionalFormatting sqref="V46:AA47 AC48:AF49">
    <cfRule type="expression" dxfId="4764" priority="168">
      <formula>V$9&gt;=20/24</formula>
    </cfRule>
    <cfRule type="expression" dxfId="4763" priority="169">
      <formula>AND(V$9&gt;=14/24,V$9&lt;20/24)</formula>
    </cfRule>
    <cfRule type="expression" dxfId="4762" priority="170">
      <formula>AND(V$9&gt;=8/24,V$9&lt;14/24)</formula>
    </cfRule>
    <cfRule type="expression" dxfId="4761" priority="171">
      <formula>V$9&lt;8/24</formula>
    </cfRule>
  </conditionalFormatting>
  <conditionalFormatting sqref="V46:AA47 AC48:AF49">
    <cfRule type="expression" dxfId="4760" priority="167">
      <formula>V46&gt;$AG46</formula>
    </cfRule>
  </conditionalFormatting>
  <conditionalFormatting sqref="M43:R54 S46:U54 V48:AB54 AC50:AF54">
    <cfRule type="expression" dxfId="4759" priority="163">
      <formula>M$9&gt;=20/24</formula>
    </cfRule>
    <cfRule type="expression" dxfId="4758" priority="164">
      <formula>AND(M$9&gt;=14/24,M$9&lt;20/24)</formula>
    </cfRule>
    <cfRule type="expression" dxfId="4757" priority="165">
      <formula>AND(M$9&gt;=8/24,M$9&lt;14/24)</formula>
    </cfRule>
    <cfRule type="expression" dxfId="4756" priority="166">
      <formula>M$9&lt;8/24</formula>
    </cfRule>
  </conditionalFormatting>
  <conditionalFormatting sqref="M43:R54 S46:U54 V48:AB54 AC50:AF54">
    <cfRule type="expression" dxfId="4755" priority="162">
      <formula>M43&gt;$AG43</formula>
    </cfRule>
  </conditionalFormatting>
  <conditionalFormatting sqref="AA27:AF27">
    <cfRule type="expression" dxfId="4754" priority="158">
      <formula>AA$9&gt;=20/24</formula>
    </cfRule>
    <cfRule type="expression" dxfId="4753" priority="159">
      <formula>AND(AA$9&gt;=14/24,AA$9&lt;20/24)</formula>
    </cfRule>
    <cfRule type="expression" dxfId="4752" priority="160">
      <formula>AND(AA$9&gt;=8/24,AA$9&lt;14/24)</formula>
    </cfRule>
    <cfRule type="expression" dxfId="4751" priority="161">
      <formula>AA$9&lt;8/24</formula>
    </cfRule>
  </conditionalFormatting>
  <conditionalFormatting sqref="D11:Y14 Z11:Z13 D16:Z20 AA17:AF17 AA23:AF23">
    <cfRule type="expression" dxfId="4750" priority="154">
      <formula>D$9&gt;=20/24</formula>
    </cfRule>
    <cfRule type="expression" dxfId="4749" priority="155">
      <formula>AND(D$9&gt;=14/24,D$9&lt;20/24)</formula>
    </cfRule>
    <cfRule type="expression" dxfId="4748" priority="156">
      <formula>AND(D$9&gt;=8/24,D$9&lt;14/24)</formula>
    </cfRule>
    <cfRule type="expression" dxfId="4747" priority="157">
      <formula>D$9&lt;8/24</formula>
    </cfRule>
  </conditionalFormatting>
  <conditionalFormatting sqref="D17:Z20 AA17:AF17 AA23:AF23">
    <cfRule type="expression" dxfId="4746" priority="149">
      <formula>D17&gt;$AG17</formula>
    </cfRule>
  </conditionalFormatting>
  <conditionalFormatting sqref="D15:Z15">
    <cfRule type="expression" dxfId="4745" priority="141">
      <formula>D$9&gt;=20/24</formula>
    </cfRule>
    <cfRule type="expression" dxfId="4744" priority="142">
      <formula>AND(D$9&gt;=14/24,D$9&lt;20/24)</formula>
    </cfRule>
    <cfRule type="expression" dxfId="4743" priority="143">
      <formula>AND(D$9&gt;=8/24,D$9&lt;14/24)</formula>
    </cfRule>
    <cfRule type="expression" dxfId="4742" priority="144">
      <formula>D$9&lt;8/24</formula>
    </cfRule>
  </conditionalFormatting>
  <conditionalFormatting sqref="C44:L45">
    <cfRule type="expression" dxfId="4741" priority="132">
      <formula>C$9&gt;=20/24</formula>
    </cfRule>
    <cfRule type="expression" dxfId="4740" priority="133">
      <formula>AND(C$9&gt;=14/24,C$9&lt;20/24)</formula>
    </cfRule>
    <cfRule type="expression" dxfId="4739" priority="134">
      <formula>AND(C$9&gt;=8/24,C$9&lt;14/24)</formula>
    </cfRule>
    <cfRule type="expression" dxfId="4738" priority="135">
      <formula>C$9&lt;8/24</formula>
    </cfRule>
  </conditionalFormatting>
  <conditionalFormatting sqref="C43:L43">
    <cfRule type="expression" dxfId="4737" priority="128">
      <formula>C$9&gt;=20/24</formula>
    </cfRule>
    <cfRule type="expression" dxfId="4736" priority="129">
      <formula>AND(C$9&gt;=14/24,C$9&lt;20/24)</formula>
    </cfRule>
    <cfRule type="expression" dxfId="4735" priority="130">
      <formula>AND(C$9&gt;=8/24,C$9&lt;14/24)</formula>
    </cfRule>
    <cfRule type="expression" dxfId="4734" priority="131">
      <formula>C$9&lt;8/24</formula>
    </cfRule>
  </conditionalFormatting>
  <conditionalFormatting sqref="C43:L45">
    <cfRule type="expression" dxfId="4733" priority="127">
      <formula>C43&gt;$AG43</formula>
    </cfRule>
  </conditionalFormatting>
  <conditionalFormatting sqref="C46:L46">
    <cfRule type="expression" dxfId="4732" priority="122">
      <formula>C46&gt;$AG46</formula>
    </cfRule>
  </conditionalFormatting>
  <conditionalFormatting sqref="X44:Z45">
    <cfRule type="expression" dxfId="4731" priority="113">
      <formula>X$9&gt;=20/24</formula>
    </cfRule>
    <cfRule type="expression" dxfId="4730" priority="114">
      <formula>AND(X$9&gt;=14/24,X$9&lt;20/24)</formula>
    </cfRule>
    <cfRule type="expression" dxfId="4729" priority="115">
      <formula>AND(X$9&gt;=8/24,X$9&lt;14/24)</formula>
    </cfRule>
    <cfRule type="expression" dxfId="4728" priority="116">
      <formula>X$9&lt;8/24</formula>
    </cfRule>
  </conditionalFormatting>
  <conditionalFormatting sqref="X43:Z43">
    <cfRule type="expression" dxfId="4727" priority="109">
      <formula>X$9&gt;=20/24</formula>
    </cfRule>
    <cfRule type="expression" dxfId="4726" priority="110">
      <formula>AND(X$9&gt;=14/24,X$9&lt;20/24)</formula>
    </cfRule>
    <cfRule type="expression" dxfId="4725" priority="111">
      <formula>AND(X$9&gt;=8/24,X$9&lt;14/24)</formula>
    </cfRule>
    <cfRule type="expression" dxfId="4724" priority="112">
      <formula>X$9&lt;8/24</formula>
    </cfRule>
  </conditionalFormatting>
  <conditionalFormatting sqref="X43:Z45">
    <cfRule type="expression" dxfId="4723" priority="108">
      <formula>X43&gt;$AG43</formula>
    </cfRule>
  </conditionalFormatting>
  <conditionalFormatting sqref="B99:B105 B78:AF78 B87:AF87 B11:C11">
    <cfRule type="expression" dxfId="4722" priority="104">
      <formula>B$9&gt;=20/24</formula>
    </cfRule>
    <cfRule type="expression" dxfId="4721" priority="105">
      <formula>AND(B$9&gt;=14/24,B$9&lt;20/24)</formula>
    </cfRule>
    <cfRule type="expression" dxfId="4720" priority="106">
      <formula>AND(B$9&gt;=8/24,B$9&lt;14/24)</formula>
    </cfRule>
    <cfRule type="expression" dxfId="4719" priority="107">
      <formula>B$9&lt;8/24</formula>
    </cfRule>
  </conditionalFormatting>
  <conditionalFormatting sqref="B37:R37">
    <cfRule type="expression" dxfId="4718" priority="100">
      <formula>B$9&gt;=20/24</formula>
    </cfRule>
    <cfRule type="expression" dxfId="4717" priority="101">
      <formula>AND(B$9&gt;=14/24,B$9&lt;20/24)</formula>
    </cfRule>
    <cfRule type="expression" dxfId="4716" priority="102">
      <formula>AND(B$9&gt;=8/24,B$9&lt;14/24)</formula>
    </cfRule>
    <cfRule type="expression" dxfId="4715" priority="103">
      <formula>B$9&lt;8/24</formula>
    </cfRule>
  </conditionalFormatting>
  <conditionalFormatting sqref="B11:C11 B37:R37">
    <cfRule type="expression" dxfId="4714" priority="99">
      <formula>B11&gt;$AG11</formula>
    </cfRule>
  </conditionalFormatting>
  <conditionalFormatting sqref="B89">
    <cfRule type="expression" dxfId="4713" priority="95">
      <formula>B$9&gt;=20/24</formula>
    </cfRule>
    <cfRule type="expression" dxfId="4712" priority="96">
      <formula>AND(B$9&gt;=14/24,B$9&lt;20/24)</formula>
    </cfRule>
    <cfRule type="expression" dxfId="4711" priority="97">
      <formula>AND(B$9&gt;=8/24,B$9&lt;14/24)</formula>
    </cfRule>
    <cfRule type="expression" dxfId="4710" priority="98">
      <formula>B$9&lt;8/24</formula>
    </cfRule>
  </conditionalFormatting>
  <conditionalFormatting sqref="B44:B45 B61 B36:Z36">
    <cfRule type="expression" dxfId="4709" priority="91">
      <formula>B$9&gt;=20/24</formula>
    </cfRule>
    <cfRule type="expression" dxfId="4708" priority="92">
      <formula>AND(B$9&gt;=14/24,B$9&lt;20/24)</formula>
    </cfRule>
    <cfRule type="expression" dxfId="4707" priority="93">
      <formula>AND(B$9&gt;=8/24,B$9&lt;14/24)</formula>
    </cfRule>
    <cfRule type="expression" dxfId="4706" priority="94">
      <formula>B$9&lt;8/24</formula>
    </cfRule>
  </conditionalFormatting>
  <conditionalFormatting sqref="B43">
    <cfRule type="expression" dxfId="4705" priority="87">
      <formula>B$9&gt;=20/24</formula>
    </cfRule>
    <cfRule type="expression" dxfId="4704" priority="88">
      <formula>AND(B$9&gt;=14/24,B$9&lt;20/24)</formula>
    </cfRule>
    <cfRule type="expression" dxfId="4703" priority="89">
      <formula>AND(B$9&gt;=8/24,B$9&lt;14/24)</formula>
    </cfRule>
    <cfRule type="expression" dxfId="4702" priority="90">
      <formula>B$9&lt;8/24</formula>
    </cfRule>
  </conditionalFormatting>
  <conditionalFormatting sqref="B43:B45 B36:Z36">
    <cfRule type="expression" dxfId="4701" priority="86">
      <formula>B36&gt;$AG36</formula>
    </cfRule>
  </conditionalFormatting>
  <conditionalFormatting sqref="B57:B60 B62:B71 B73:B77 B79:AF79 B86 C60:AG60 C77:AG77 B88:AF88 B12:C14 B16:C16 B18:C22 C65:C71 B90:C96 C57:L59 C73:L75 D21:Z22 B24:Z26 B28:Z32">
    <cfRule type="expression" dxfId="4700" priority="82">
      <formula>B$9&gt;=20/24</formula>
    </cfRule>
    <cfRule type="expression" dxfId="4699" priority="83">
      <formula>AND(B$9&gt;=14/24,B$9&lt;20/24)</formula>
    </cfRule>
    <cfRule type="expression" dxfId="4698" priority="84">
      <formula>AND(B$9&gt;=8/24,B$9&lt;14/24)</formula>
    </cfRule>
    <cfRule type="expression" dxfId="4697" priority="85">
      <formula>B$9&lt;8/24</formula>
    </cfRule>
  </conditionalFormatting>
  <conditionalFormatting sqref="B33:Z33">
    <cfRule type="expression" dxfId="4696" priority="78">
      <formula>B$9&gt;=20/24</formula>
    </cfRule>
    <cfRule type="expression" dxfId="4695" priority="79">
      <formula>AND(B$9&gt;=14/24,B$9&lt;20/24)</formula>
    </cfRule>
    <cfRule type="expression" dxfId="4694" priority="80">
      <formula>AND(B$9&gt;=8/24,B$9&lt;14/24)</formula>
    </cfRule>
    <cfRule type="expression" dxfId="4693" priority="81">
      <formula>B$9&lt;8/24</formula>
    </cfRule>
  </conditionalFormatting>
  <conditionalFormatting sqref="B46:B47 B55:B60 B38:AG38 C56:AG56 C60:AG60 B18:C22 C47:L47 C57:L59 D21:Z22 B24:Z33">
    <cfRule type="expression" dxfId="4692" priority="77">
      <formula>B18&gt;$AG18</formula>
    </cfRule>
  </conditionalFormatting>
  <conditionalFormatting sqref="B35:Z35">
    <cfRule type="expression" dxfId="4691" priority="73">
      <formula>B$9&gt;=20/24</formula>
    </cfRule>
    <cfRule type="expression" dxfId="4690" priority="74">
      <formula>AND(B$9&gt;=14/24,B$9&lt;20/24)</formula>
    </cfRule>
    <cfRule type="expression" dxfId="4689" priority="75">
      <formula>AND(B$9&gt;=8/24,B$9&lt;14/24)</formula>
    </cfRule>
    <cfRule type="expression" dxfId="4688" priority="76">
      <formula>B$9&lt;8/24</formula>
    </cfRule>
  </conditionalFormatting>
  <conditionalFormatting sqref="B15:C15">
    <cfRule type="expression" dxfId="4687" priority="69">
      <formula>B$9&gt;=20/24</formula>
    </cfRule>
    <cfRule type="expression" dxfId="4686" priority="70">
      <formula>AND(B$9&gt;=14/24,B$9&lt;20/24)</formula>
    </cfRule>
    <cfRule type="expression" dxfId="4685" priority="71">
      <formula>AND(B$9&gt;=8/24,B$9&lt;14/24)</formula>
    </cfRule>
    <cfRule type="expression" dxfId="4684" priority="72">
      <formula>B$9&lt;8/24</formula>
    </cfRule>
  </conditionalFormatting>
  <conditionalFormatting sqref="B34:Z34">
    <cfRule type="expression" dxfId="4683" priority="65">
      <formula>B$9&gt;=20/24</formula>
    </cfRule>
    <cfRule type="expression" dxfId="4682" priority="66">
      <formula>AND(B$9&gt;=14/24,B$9&lt;20/24)</formula>
    </cfRule>
    <cfRule type="expression" dxfId="4681" priority="67">
      <formula>AND(B$9&gt;=8/24,B$9&lt;14/24)</formula>
    </cfRule>
    <cfRule type="expression" dxfId="4680" priority="68">
      <formula>B$9&lt;8/24</formula>
    </cfRule>
  </conditionalFormatting>
  <conditionalFormatting sqref="B34:Z34">
    <cfRule type="expression" dxfId="4679" priority="64">
      <formula>B34&gt;$AG34</formula>
    </cfRule>
  </conditionalFormatting>
  <conditionalFormatting sqref="B48:L54">
    <cfRule type="expression" dxfId="4678" priority="60">
      <formula>B$9&gt;=20/24</formula>
    </cfRule>
    <cfRule type="expression" dxfId="4677" priority="61">
      <formula>AND(B$9&gt;=14/24,B$9&lt;20/24)</formula>
    </cfRule>
    <cfRule type="expression" dxfId="4676" priority="62">
      <formula>AND(B$9&gt;=8/24,B$9&lt;14/24)</formula>
    </cfRule>
    <cfRule type="expression" dxfId="4675" priority="63">
      <formula>B$9&lt;8/24</formula>
    </cfRule>
  </conditionalFormatting>
  <conditionalFormatting sqref="B48:L54">
    <cfRule type="expression" dxfId="4674" priority="59">
      <formula>B48&gt;$AG48</formula>
    </cfRule>
  </conditionalFormatting>
  <conditionalFormatting sqref="B27:Z27">
    <cfRule type="expression" dxfId="4673" priority="55">
      <formula>B$9&gt;=20/24</formula>
    </cfRule>
    <cfRule type="expression" dxfId="4672" priority="56">
      <formula>AND(B$9&gt;=14/24,B$9&lt;20/24)</formula>
    </cfRule>
    <cfRule type="expression" dxfId="4671" priority="57">
      <formula>AND(B$9&gt;=8/24,B$9&lt;14/24)</formula>
    </cfRule>
    <cfRule type="expression" dxfId="4670" priority="58">
      <formula>B$9&lt;8/24</formula>
    </cfRule>
  </conditionalFormatting>
  <conditionalFormatting sqref="B17:C17 B23:Z23">
    <cfRule type="expression" dxfId="4669" priority="51">
      <formula>B$9&gt;=20/24</formula>
    </cfRule>
    <cfRule type="expression" dxfId="4668" priority="52">
      <formula>AND(B$9&gt;=14/24,B$9&lt;20/24)</formula>
    </cfRule>
    <cfRule type="expression" dxfId="4667" priority="53">
      <formula>AND(B$9&gt;=8/24,B$9&lt;14/24)</formula>
    </cfRule>
    <cfRule type="expression" dxfId="4666" priority="54">
      <formula>B$9&lt;8/24</formula>
    </cfRule>
  </conditionalFormatting>
  <conditionalFormatting sqref="B17:C17 B23:Z23">
    <cfRule type="expression" dxfId="4665" priority="50">
      <formula>B17&gt;$AG17</formula>
    </cfRule>
  </conditionalFormatting>
  <conditionalFormatting sqref="A34">
    <cfRule type="expression" dxfId="4664" priority="49">
      <formula>$AH34=0</formula>
    </cfRule>
  </conditionalFormatting>
  <conditionalFormatting sqref="B72:AF72">
    <cfRule type="expression" dxfId="4663" priority="45">
      <formula>B$9&gt;=20/24</formula>
    </cfRule>
    <cfRule type="expression" dxfId="4662" priority="46">
      <formula>AND(B$9&gt;=14/24,B$9&lt;20/24)</formula>
    </cfRule>
    <cfRule type="expression" dxfId="4661" priority="47">
      <formula>AND(B$9&gt;=8/24,B$9&lt;14/24)</formula>
    </cfRule>
    <cfRule type="expression" dxfId="4660" priority="48">
      <formula>B$9&lt;8/24</formula>
    </cfRule>
  </conditionalFormatting>
  <conditionalFormatting sqref="B81:AF85">
    <cfRule type="expression" dxfId="4659" priority="41">
      <formula>B$9&gt;=20/24</formula>
    </cfRule>
    <cfRule type="expression" dxfId="4658" priority="42">
      <formula>AND(B$9&gt;=14/24,B$9&lt;20/24)</formula>
    </cfRule>
    <cfRule type="expression" dxfId="4657" priority="43">
      <formula>AND(B$9&gt;=8/24,B$9&lt;14/24)</formula>
    </cfRule>
    <cfRule type="expression" dxfId="4656" priority="44">
      <formula>B$9&lt;8/24</formula>
    </cfRule>
  </conditionalFormatting>
  <conditionalFormatting sqref="AL35 AL7:AL30 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4655" priority="37">
      <formula>M$9&gt;=20/24</formula>
    </cfRule>
    <cfRule type="expression" dxfId="4654" priority="38">
      <formula>AND(M$9&gt;=14/24,M$9&lt;20/24)</formula>
    </cfRule>
    <cfRule type="expression" dxfId="4653" priority="39">
      <formula>AND(M$9&gt;=8/24,M$9&lt;14/24)</formula>
    </cfRule>
    <cfRule type="expression" dxfId="4652" priority="40">
      <formula>M$9&lt;8/24</formula>
    </cfRule>
  </conditionalFormatting>
  <conditionalFormatting sqref="M39:AF41">
    <cfRule type="expression" dxfId="4651" priority="36">
      <formula>M39&gt;$AG39</formula>
    </cfRule>
  </conditionalFormatting>
  <conditionalFormatting sqref="B39:B42 C42:AG42 C39:L41">
    <cfRule type="expression" dxfId="4650" priority="32">
      <formula>B$9&gt;=20/24</formula>
    </cfRule>
    <cfRule type="expression" dxfId="4649" priority="33">
      <formula>AND(B$9&gt;=14/24,B$9&lt;20/24)</formula>
    </cfRule>
    <cfRule type="expression" dxfId="4648" priority="34">
      <formula>AND(B$9&gt;=8/24,B$9&lt;14/24)</formula>
    </cfRule>
    <cfRule type="expression" dxfId="4647" priority="35">
      <formula>B$9&lt;8/24</formula>
    </cfRule>
  </conditionalFormatting>
  <conditionalFormatting sqref="B39:B42 C42:AG42 C39:L41">
    <cfRule type="expression" dxfId="4646" priority="31">
      <formula>B39&gt;$AG39</formula>
    </cfRule>
  </conditionalFormatting>
  <conditionalFormatting sqref="C97:AF97">
    <cfRule type="expression" dxfId="4645" priority="27">
      <formula>C$9&gt;=20/24</formula>
    </cfRule>
    <cfRule type="expression" dxfId="4644" priority="28">
      <formula>AND(C$9&gt;=14/24,C$9&lt;20/24)</formula>
    </cfRule>
    <cfRule type="expression" dxfId="4643" priority="29">
      <formula>AND(C$9&gt;=8/24,C$9&lt;14/24)</formula>
    </cfRule>
    <cfRule type="expression" dxfId="4642" priority="30">
      <formula>C$9&lt;8/24</formula>
    </cfRule>
  </conditionalFormatting>
  <conditionalFormatting sqref="B97">
    <cfRule type="expression" dxfId="4641" priority="23">
      <formula>B$9&gt;=20/24</formula>
    </cfRule>
    <cfRule type="expression" dxfId="4640" priority="24">
      <formula>AND(B$9&gt;=14/24,B$9&lt;20/24)</formula>
    </cfRule>
    <cfRule type="expression" dxfId="4639" priority="25">
      <formula>AND(B$9&gt;=8/24,B$9&lt;14/24)</formula>
    </cfRule>
    <cfRule type="expression" dxfId="4638" priority="26">
      <formula>B$9&lt;8/24</formula>
    </cfRule>
  </conditionalFormatting>
  <conditionalFormatting sqref="AL31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637" priority="16">
      <formula>$AH31=0</formula>
    </cfRule>
  </conditionalFormatting>
  <conditionalFormatting sqref="A80">
    <cfRule type="expression" dxfId="4636" priority="14">
      <formula>$AH80=0</formula>
    </cfRule>
  </conditionalFormatting>
  <conditionalFormatting sqref="A77">
    <cfRule type="expression" dxfId="4635" priority="15">
      <formula>$AH77=0</formula>
    </cfRule>
  </conditionalFormatting>
  <conditionalFormatting sqref="A106">
    <cfRule type="expression" dxfId="4634" priority="5">
      <formula>$AH106=0</formula>
    </cfRule>
  </conditionalFormatting>
  <conditionalFormatting sqref="AA11">
    <cfRule type="expression" dxfId="4633" priority="1">
      <formula>AA$9&gt;=20/24</formula>
    </cfRule>
    <cfRule type="expression" dxfId="4632" priority="2">
      <formula>AND(AA$9&gt;=14/24,AA$9&lt;20/24)</formula>
    </cfRule>
    <cfRule type="expression" dxfId="4631" priority="3">
      <formula>AND(AA$9&gt;=8/24,AA$9&lt;14/24)</formula>
    </cfRule>
    <cfRule type="expression" dxfId="4630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F75E27B4-33AE-4B38-8CDE-846245965C2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" id="{B5F6D23B-17C1-44F3-82B4-9478024801E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" id="{A671B9ED-B5DD-4D89-AD65-9E8D42D97E3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" id="{93384895-4700-4D2D-AA52-25756D89E80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0" id="{38917D50-3812-401E-A96A-8C38D206653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8C6CD443-AB04-4FCB-A199-5A3889F7265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22AF51B2-13B8-40C1-BBC8-58145F87C41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D5EE44C9-E505-4AB9-B560-7739ACA3086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6" id="{FC9C8BEA-088B-4427-B89A-4016B8C243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CB427072-0D39-4C99-881C-48E82A4B347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43D25280-5820-493D-A61B-01EA6201913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B4643A81-3237-4FCF-ABFF-BE69704AFEF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CJ493"/>
  <sheetViews>
    <sheetView zoomScale="90" zoomScaleNormal="90" workbookViewId="0">
      <pane xSplit="1" ySplit="10" topLeftCell="B53" activePane="bottomRight" state="frozen"/>
      <selection activeCell="AF88" sqref="AF88"/>
      <selection pane="topRight" activeCell="AF88" sqref="AF88"/>
      <selection pane="bottomLeft" activeCell="AF88" sqref="AF88"/>
      <selection pane="bottomRight" activeCell="E104" sqref="E10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2079/02/16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18</v>
      </c>
      <c r="C5" s="205">
        <f t="shared" si="0"/>
        <v>6.3</v>
      </c>
      <c r="D5" s="205">
        <f t="shared" si="0"/>
        <v>3.2</v>
      </c>
      <c r="E5" s="205">
        <f t="shared" si="0"/>
        <v>5</v>
      </c>
      <c r="F5" s="205">
        <f t="shared" si="0"/>
        <v>5</v>
      </c>
      <c r="G5" s="205">
        <f t="shared" si="0"/>
        <v>5</v>
      </c>
      <c r="H5" s="205">
        <f t="shared" si="0"/>
        <v>12</v>
      </c>
      <c r="I5" s="205">
        <f t="shared" si="0"/>
        <v>8.4</v>
      </c>
      <c r="J5" s="205">
        <f t="shared" si="0"/>
        <v>3.3</v>
      </c>
      <c r="K5" s="205">
        <f t="shared" si="0"/>
        <v>1.2</v>
      </c>
      <c r="L5" s="205">
        <f t="shared" si="0"/>
        <v>1.2</v>
      </c>
      <c r="M5" s="205">
        <f t="shared" si="0"/>
        <v>2.4</v>
      </c>
      <c r="N5" s="205">
        <f t="shared" si="0"/>
        <v>17.5</v>
      </c>
      <c r="O5" s="205">
        <f t="shared" si="0"/>
        <v>10.4</v>
      </c>
      <c r="P5" s="205">
        <f t="shared" si="0"/>
        <v>0</v>
      </c>
      <c r="Q5" s="205">
        <f t="shared" si="0"/>
        <v>0</v>
      </c>
      <c r="R5" s="205">
        <f t="shared" si="0"/>
        <v>17</v>
      </c>
      <c r="S5" s="205">
        <f t="shared" si="0"/>
        <v>18</v>
      </c>
      <c r="T5" s="205">
        <f t="shared" si="0"/>
        <v>15.5</v>
      </c>
      <c r="U5" s="205">
        <f t="shared" si="0"/>
        <v>10.3</v>
      </c>
      <c r="V5" s="205">
        <f t="shared" si="0"/>
        <v>12</v>
      </c>
      <c r="W5" s="205">
        <f t="shared" si="0"/>
        <v>46.2</v>
      </c>
      <c r="X5" s="205">
        <f t="shared" si="0"/>
        <v>47.7</v>
      </c>
      <c r="Y5" s="205">
        <f t="shared" si="0"/>
        <v>78</v>
      </c>
      <c r="Z5" s="205">
        <f t="shared" si="0"/>
        <v>87.4</v>
      </c>
      <c r="AA5" s="205">
        <f t="shared" si="0"/>
        <v>90</v>
      </c>
      <c r="AB5" s="205">
        <f t="shared" si="0"/>
        <v>90</v>
      </c>
      <c r="AC5" s="205">
        <f t="shared" si="0"/>
        <v>76</v>
      </c>
      <c r="AD5" s="205">
        <f t="shared" si="0"/>
        <v>39</v>
      </c>
      <c r="AE5" s="205">
        <f t="shared" si="0"/>
        <v>0</v>
      </c>
      <c r="AF5" s="205">
        <f>B72</f>
        <v>24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1701MW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Load=1640</v>
      </c>
      <c r="B7" s="210">
        <f>B79</f>
        <v>1728.14</v>
      </c>
      <c r="C7" s="210">
        <f t="shared" ref="C7:AF7" si="1">C79</f>
        <v>1726.14</v>
      </c>
      <c r="D7" s="210">
        <f t="shared" si="1"/>
        <v>1709.44</v>
      </c>
      <c r="E7" s="210">
        <f t="shared" si="1"/>
        <v>1694.64</v>
      </c>
      <c r="F7" s="210">
        <f t="shared" si="1"/>
        <v>1677.44</v>
      </c>
      <c r="G7" s="210">
        <f t="shared" si="1"/>
        <v>1692.74</v>
      </c>
      <c r="H7" s="210">
        <f t="shared" si="1"/>
        <v>1678.34</v>
      </c>
      <c r="I7" s="210">
        <f t="shared" si="1"/>
        <v>1639.54</v>
      </c>
      <c r="J7" s="210">
        <f t="shared" si="1"/>
        <v>1680.64</v>
      </c>
      <c r="K7" s="210">
        <f t="shared" si="1"/>
        <v>1690.24</v>
      </c>
      <c r="L7" s="210">
        <f t="shared" si="1"/>
        <v>1691.84</v>
      </c>
      <c r="M7" s="210">
        <f t="shared" si="1"/>
        <v>1697.9399999999998</v>
      </c>
      <c r="N7" s="210">
        <f t="shared" si="1"/>
        <v>1701.04</v>
      </c>
      <c r="O7" s="210">
        <f t="shared" si="1"/>
        <v>1721.1399999999999</v>
      </c>
      <c r="P7" s="210">
        <f t="shared" si="1"/>
        <v>1743.6399999999999</v>
      </c>
      <c r="Q7" s="210">
        <f t="shared" si="1"/>
        <v>1722.34</v>
      </c>
      <c r="R7" s="210">
        <f t="shared" si="1"/>
        <v>1704.34</v>
      </c>
      <c r="S7" s="210">
        <f t="shared" si="1"/>
        <v>1720.34</v>
      </c>
      <c r="T7" s="210">
        <f t="shared" si="1"/>
        <v>1720.84</v>
      </c>
      <c r="U7" s="210">
        <f t="shared" si="1"/>
        <v>1719.6399999999999</v>
      </c>
      <c r="V7" s="210">
        <f t="shared" si="1"/>
        <v>1740.74</v>
      </c>
      <c r="W7" s="210">
        <f t="shared" si="1"/>
        <v>1740.4399999999998</v>
      </c>
      <c r="X7" s="210">
        <f t="shared" si="1"/>
        <v>1741.44</v>
      </c>
      <c r="Y7" s="210">
        <f t="shared" si="1"/>
        <v>1787.94</v>
      </c>
      <c r="Z7" s="210">
        <f t="shared" si="1"/>
        <v>1868.84</v>
      </c>
      <c r="AA7" s="210">
        <f t="shared" si="1"/>
        <v>1834.6399999999999</v>
      </c>
      <c r="AB7" s="210">
        <f t="shared" si="1"/>
        <v>1856.7399999999998</v>
      </c>
      <c r="AC7" s="210">
        <f t="shared" si="1"/>
        <v>1889.1399999999999</v>
      </c>
      <c r="AD7" s="210">
        <f t="shared" si="1"/>
        <v>1857.1399999999999</v>
      </c>
      <c r="AE7" s="210">
        <f t="shared" si="1"/>
        <v>1789.6399999999999</v>
      </c>
      <c r="AF7" s="210">
        <f t="shared" si="1"/>
        <v>1747.4399999999998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53.8</v>
      </c>
      <c r="C11" s="221">
        <v>53.8</v>
      </c>
      <c r="D11" s="221">
        <v>53.8</v>
      </c>
      <c r="E11" s="221">
        <v>53.8</v>
      </c>
      <c r="F11" s="221">
        <v>53.8</v>
      </c>
      <c r="G11" s="221">
        <v>53.8</v>
      </c>
      <c r="H11" s="221">
        <v>53.8</v>
      </c>
      <c r="I11" s="221">
        <v>53.8</v>
      </c>
      <c r="J11" s="221">
        <v>53.8</v>
      </c>
      <c r="K11" s="221">
        <v>53.8</v>
      </c>
      <c r="L11" s="221">
        <v>53.8</v>
      </c>
      <c r="M11" s="221">
        <v>53.8</v>
      </c>
      <c r="N11" s="221">
        <v>53.8</v>
      </c>
      <c r="O11" s="221">
        <v>53.8</v>
      </c>
      <c r="P11" s="221">
        <v>53.8</v>
      </c>
      <c r="Q11" s="221">
        <v>53.7</v>
      </c>
      <c r="R11" s="221">
        <v>53.7</v>
      </c>
      <c r="S11" s="221">
        <v>53.7</v>
      </c>
      <c r="T11" s="221">
        <v>53.7</v>
      </c>
      <c r="U11" s="221">
        <v>53.7</v>
      </c>
      <c r="V11" s="221">
        <v>53.7</v>
      </c>
      <c r="W11" s="221">
        <v>53.7</v>
      </c>
      <c r="X11" s="221">
        <v>53.7</v>
      </c>
      <c r="Y11" s="221">
        <v>53.7</v>
      </c>
      <c r="Z11" s="221">
        <v>53.7</v>
      </c>
      <c r="AA11" s="224">
        <v>53.7</v>
      </c>
      <c r="AB11" s="224">
        <v>53.7</v>
      </c>
      <c r="AC11" s="224">
        <v>53.7</v>
      </c>
      <c r="AD11" s="224">
        <v>53.7</v>
      </c>
      <c r="AE11" s="224">
        <v>53.7</v>
      </c>
      <c r="AF11" s="224">
        <v>53.7</v>
      </c>
      <c r="AG11" s="225">
        <v>52.4</v>
      </c>
      <c r="AH11" s="226">
        <f>MAX(B11:AF11)</f>
        <v>53.8</v>
      </c>
      <c r="AI11" s="227">
        <f>MIN(B11:AF11)</f>
        <v>53.7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</v>
      </c>
      <c r="C12" s="221">
        <v>50</v>
      </c>
      <c r="D12" s="221">
        <v>50</v>
      </c>
      <c r="E12" s="221">
        <v>50.3</v>
      </c>
      <c r="F12" s="221">
        <v>50.3</v>
      </c>
      <c r="G12" s="221">
        <v>50.3</v>
      </c>
      <c r="H12" s="221">
        <v>50.3</v>
      </c>
      <c r="I12" s="221">
        <v>50.3</v>
      </c>
      <c r="J12" s="221">
        <v>50.3</v>
      </c>
      <c r="K12" s="221">
        <v>50.3</v>
      </c>
      <c r="L12" s="221">
        <v>50.3</v>
      </c>
      <c r="M12" s="221">
        <v>50.3</v>
      </c>
      <c r="N12" s="221">
        <v>50.3</v>
      </c>
      <c r="O12" s="221">
        <v>50.3</v>
      </c>
      <c r="P12" s="221">
        <v>50.3</v>
      </c>
      <c r="Q12" s="221">
        <v>50.6</v>
      </c>
      <c r="R12" s="221">
        <v>50.6</v>
      </c>
      <c r="S12" s="221">
        <v>50.6</v>
      </c>
      <c r="T12" s="221">
        <v>50.6</v>
      </c>
      <c r="U12" s="221">
        <v>50.6</v>
      </c>
      <c r="V12" s="221">
        <v>50.6</v>
      </c>
      <c r="W12" s="221">
        <v>50.6</v>
      </c>
      <c r="X12" s="221">
        <v>50.2</v>
      </c>
      <c r="Y12" s="221">
        <v>50.2</v>
      </c>
      <c r="Z12" s="221">
        <v>50.2</v>
      </c>
      <c r="AA12" s="221">
        <v>50.2</v>
      </c>
      <c r="AB12" s="221">
        <v>50.2</v>
      </c>
      <c r="AC12" s="221">
        <v>50.2</v>
      </c>
      <c r="AD12" s="221">
        <v>50.2</v>
      </c>
      <c r="AE12" s="221">
        <v>50.2</v>
      </c>
      <c r="AF12" s="221">
        <v>50.2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46.1</v>
      </c>
      <c r="C13" s="221">
        <v>46.1</v>
      </c>
      <c r="D13" s="221">
        <v>46.1</v>
      </c>
      <c r="E13" s="221">
        <v>46.2</v>
      </c>
      <c r="F13" s="221">
        <v>46.2</v>
      </c>
      <c r="G13" s="221">
        <v>46.2</v>
      </c>
      <c r="H13" s="221">
        <v>46.2</v>
      </c>
      <c r="I13" s="221">
        <v>46.2</v>
      </c>
      <c r="J13" s="221">
        <v>46.2</v>
      </c>
      <c r="K13" s="221">
        <v>46.2</v>
      </c>
      <c r="L13" s="221">
        <v>46.2</v>
      </c>
      <c r="M13" s="221">
        <v>24.4</v>
      </c>
      <c r="N13" s="221">
        <v>24.4</v>
      </c>
      <c r="O13" s="221">
        <v>24.4</v>
      </c>
      <c r="P13" s="221">
        <v>46.1</v>
      </c>
      <c r="Q13" s="221">
        <v>46.2</v>
      </c>
      <c r="R13" s="221">
        <v>46.2</v>
      </c>
      <c r="S13" s="221">
        <v>46.2</v>
      </c>
      <c r="T13" s="221">
        <v>46.2</v>
      </c>
      <c r="U13" s="221">
        <v>46.2</v>
      </c>
      <c r="V13" s="221">
        <v>46.2</v>
      </c>
      <c r="W13" s="221">
        <v>46.2</v>
      </c>
      <c r="X13" s="221">
        <v>46.1</v>
      </c>
      <c r="Y13" s="221">
        <v>46.1</v>
      </c>
      <c r="Z13" s="221">
        <v>46.1</v>
      </c>
      <c r="AA13" s="221">
        <v>46.1</v>
      </c>
      <c r="AB13" s="221">
        <v>46.1</v>
      </c>
      <c r="AC13" s="221">
        <v>46.1</v>
      </c>
      <c r="AD13" s="221">
        <v>46.1</v>
      </c>
      <c r="AE13" s="221">
        <v>46.1</v>
      </c>
      <c r="AF13" s="221">
        <v>46.1</v>
      </c>
      <c r="AG13" s="229">
        <v>45</v>
      </c>
      <c r="AH13" s="226">
        <f t="shared" si="2"/>
        <v>46.2</v>
      </c>
      <c r="AI13" s="227">
        <f t="shared" si="3"/>
        <v>24.4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0</v>
      </c>
      <c r="C14" s="221">
        <v>0</v>
      </c>
      <c r="D14" s="221">
        <v>0</v>
      </c>
      <c r="E14" s="221">
        <v>0</v>
      </c>
      <c r="F14" s="221">
        <v>0</v>
      </c>
      <c r="G14" s="221">
        <v>0</v>
      </c>
      <c r="H14" s="221">
        <v>0</v>
      </c>
      <c r="I14" s="221">
        <v>0</v>
      </c>
      <c r="J14" s="221">
        <v>0</v>
      </c>
      <c r="K14" s="221">
        <v>0</v>
      </c>
      <c r="L14" s="221">
        <v>0</v>
      </c>
      <c r="M14" s="221">
        <v>0</v>
      </c>
      <c r="N14" s="221">
        <v>0</v>
      </c>
      <c r="O14" s="221">
        <v>0</v>
      </c>
      <c r="P14" s="221">
        <v>0</v>
      </c>
      <c r="Q14" s="221">
        <v>0</v>
      </c>
      <c r="R14" s="221">
        <v>0</v>
      </c>
      <c r="S14" s="221">
        <v>0</v>
      </c>
      <c r="T14" s="221">
        <v>0</v>
      </c>
      <c r="U14" s="221">
        <v>0</v>
      </c>
      <c r="V14" s="221">
        <v>0</v>
      </c>
      <c r="W14" s="221">
        <v>0</v>
      </c>
      <c r="X14" s="221">
        <v>0</v>
      </c>
      <c r="Y14" s="221">
        <v>0</v>
      </c>
      <c r="Z14" s="221">
        <v>0</v>
      </c>
      <c r="AA14" s="221">
        <v>0</v>
      </c>
      <c r="AB14" s="221">
        <v>0</v>
      </c>
      <c r="AC14" s="221">
        <v>35</v>
      </c>
      <c r="AD14" s="221">
        <v>33</v>
      </c>
      <c r="AE14" s="221">
        <v>33</v>
      </c>
      <c r="AF14" s="221">
        <v>30</v>
      </c>
      <c r="AG14" s="229">
        <v>42</v>
      </c>
      <c r="AH14" s="226">
        <f t="shared" si="2"/>
        <v>35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15</v>
      </c>
      <c r="C15" s="221">
        <v>20</v>
      </c>
      <c r="D15" s="221">
        <v>15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15</v>
      </c>
      <c r="L15" s="221">
        <v>15</v>
      </c>
      <c r="M15" s="221">
        <v>25</v>
      </c>
      <c r="N15" s="221">
        <v>25</v>
      </c>
      <c r="O15" s="221">
        <v>30</v>
      </c>
      <c r="P15" s="221">
        <v>30</v>
      </c>
      <c r="Q15" s="221">
        <v>30</v>
      </c>
      <c r="R15" s="221">
        <v>20</v>
      </c>
      <c r="S15" s="221">
        <v>20</v>
      </c>
      <c r="T15" s="221">
        <v>20</v>
      </c>
      <c r="U15" s="221">
        <v>20</v>
      </c>
      <c r="V15" s="221">
        <v>20</v>
      </c>
      <c r="W15" s="221">
        <v>20</v>
      </c>
      <c r="X15" s="221">
        <v>20</v>
      </c>
      <c r="Y15" s="221">
        <v>20</v>
      </c>
      <c r="Z15" s="221">
        <v>20</v>
      </c>
      <c r="AA15" s="221">
        <v>20</v>
      </c>
      <c r="AB15" s="221">
        <v>20</v>
      </c>
      <c r="AC15" s="221">
        <v>20</v>
      </c>
      <c r="AD15" s="221">
        <v>20</v>
      </c>
      <c r="AE15" s="221">
        <v>20</v>
      </c>
      <c r="AF15" s="221">
        <v>20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</v>
      </c>
      <c r="C16" s="221">
        <v>26</v>
      </c>
      <c r="D16" s="221">
        <v>26.2</v>
      </c>
      <c r="E16" s="221">
        <v>26.2</v>
      </c>
      <c r="F16" s="221">
        <v>26.2</v>
      </c>
      <c r="G16" s="221">
        <v>26.2</v>
      </c>
      <c r="H16" s="221">
        <v>26.2</v>
      </c>
      <c r="I16" s="221">
        <v>26.2</v>
      </c>
      <c r="J16" s="221">
        <v>26.2</v>
      </c>
      <c r="K16" s="221">
        <v>26.2</v>
      </c>
      <c r="L16" s="221">
        <v>26.2</v>
      </c>
      <c r="M16" s="221">
        <v>26.2</v>
      </c>
      <c r="N16" s="221">
        <v>26.2</v>
      </c>
      <c r="O16" s="221">
        <v>26.2</v>
      </c>
      <c r="P16" s="221">
        <v>26.2</v>
      </c>
      <c r="Q16" s="221">
        <v>26.2</v>
      </c>
      <c r="R16" s="221">
        <v>26.2</v>
      </c>
      <c r="S16" s="221">
        <v>26.2</v>
      </c>
      <c r="T16" s="221">
        <v>26.2</v>
      </c>
      <c r="U16" s="221">
        <v>26.2</v>
      </c>
      <c r="V16" s="221">
        <v>26.2</v>
      </c>
      <c r="W16" s="221">
        <v>26.2</v>
      </c>
      <c r="X16" s="221">
        <v>26.2</v>
      </c>
      <c r="Y16" s="221">
        <v>26.2</v>
      </c>
      <c r="Z16" s="221">
        <v>26.2</v>
      </c>
      <c r="AA16" s="221">
        <v>26.2</v>
      </c>
      <c r="AB16" s="221">
        <v>26.2</v>
      </c>
      <c r="AC16" s="221">
        <v>26.2</v>
      </c>
      <c r="AD16" s="221">
        <v>26.2</v>
      </c>
      <c r="AE16" s="221">
        <v>26.2</v>
      </c>
      <c r="AF16" s="221">
        <v>26.2</v>
      </c>
      <c r="AG16" s="229">
        <v>25</v>
      </c>
      <c r="AH16" s="226">
        <f t="shared" si="2"/>
        <v>26.2</v>
      </c>
      <c r="AI16" s="227">
        <f t="shared" si="3"/>
        <v>26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0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22</v>
      </c>
      <c r="G18" s="221">
        <v>22</v>
      </c>
      <c r="H18" s="221">
        <v>22</v>
      </c>
      <c r="I18" s="221">
        <v>22</v>
      </c>
      <c r="J18" s="221">
        <v>22</v>
      </c>
      <c r="K18" s="221">
        <v>22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22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26.1</v>
      </c>
      <c r="C19" s="221">
        <v>26.1</v>
      </c>
      <c r="D19" s="221">
        <v>26.1</v>
      </c>
      <c r="E19" s="221">
        <v>25.1</v>
      </c>
      <c r="F19" s="221">
        <v>25.1</v>
      </c>
      <c r="G19" s="221">
        <v>25.1</v>
      </c>
      <c r="H19" s="221">
        <v>25.1</v>
      </c>
      <c r="I19" s="221">
        <v>25.1</v>
      </c>
      <c r="J19" s="221">
        <v>25.1</v>
      </c>
      <c r="K19" s="221">
        <v>25.1</v>
      </c>
      <c r="L19" s="221">
        <v>25.1</v>
      </c>
      <c r="M19" s="221">
        <v>33</v>
      </c>
      <c r="N19" s="221">
        <v>33</v>
      </c>
      <c r="O19" s="221">
        <v>33</v>
      </c>
      <c r="P19" s="221">
        <v>33</v>
      </c>
      <c r="Q19" s="221">
        <v>33</v>
      </c>
      <c r="R19" s="221">
        <v>25</v>
      </c>
      <c r="S19" s="221">
        <v>25</v>
      </c>
      <c r="T19" s="221">
        <v>25</v>
      </c>
      <c r="U19" s="221">
        <v>25</v>
      </c>
      <c r="V19" s="221">
        <v>33</v>
      </c>
      <c r="W19" s="221">
        <v>33</v>
      </c>
      <c r="X19" s="221">
        <v>33</v>
      </c>
      <c r="Y19" s="221">
        <v>33</v>
      </c>
      <c r="Z19" s="221">
        <v>33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26</v>
      </c>
      <c r="AG19" s="229">
        <v>24.2</v>
      </c>
      <c r="AH19" s="226">
        <f t="shared" si="2"/>
        <v>33.200000000000003</v>
      </c>
      <c r="AI19" s="227">
        <f t="shared" si="3"/>
        <v>25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23.3</v>
      </c>
      <c r="C20" s="221">
        <v>23.3</v>
      </c>
      <c r="D20" s="221">
        <v>23.3</v>
      </c>
      <c r="E20" s="221">
        <v>23.2</v>
      </c>
      <c r="F20" s="221">
        <v>23.2</v>
      </c>
      <c r="G20" s="221">
        <v>23.2</v>
      </c>
      <c r="H20" s="221">
        <v>23.2</v>
      </c>
      <c r="I20" s="221">
        <v>23.2</v>
      </c>
      <c r="J20" s="221">
        <v>23.2</v>
      </c>
      <c r="K20" s="221">
        <v>23.2</v>
      </c>
      <c r="L20" s="221">
        <v>23.2</v>
      </c>
      <c r="M20" s="221">
        <v>23.2</v>
      </c>
      <c r="N20" s="221">
        <v>23.2</v>
      </c>
      <c r="O20" s="221">
        <v>23.2</v>
      </c>
      <c r="P20" s="221">
        <v>23.2</v>
      </c>
      <c r="Q20" s="221">
        <v>23.2</v>
      </c>
      <c r="R20" s="221">
        <v>23.2</v>
      </c>
      <c r="S20" s="221">
        <v>23.2</v>
      </c>
      <c r="T20" s="221">
        <v>23.2</v>
      </c>
      <c r="U20" s="221">
        <v>23.2</v>
      </c>
      <c r="V20" s="221">
        <v>23.2</v>
      </c>
      <c r="W20" s="221">
        <v>23.2</v>
      </c>
      <c r="X20" s="221">
        <v>23.2</v>
      </c>
      <c r="Y20" s="221">
        <v>23.2</v>
      </c>
      <c r="Z20" s="221">
        <v>23.2</v>
      </c>
      <c r="AA20" s="221">
        <v>23.2</v>
      </c>
      <c r="AB20" s="221">
        <v>23.2</v>
      </c>
      <c r="AC20" s="221">
        <v>23.2</v>
      </c>
      <c r="AD20" s="221">
        <v>23.2</v>
      </c>
      <c r="AE20" s="221">
        <v>23.2</v>
      </c>
      <c r="AF20" s="221">
        <v>23.2</v>
      </c>
      <c r="AG20" s="229">
        <v>23.5</v>
      </c>
      <c r="AH20" s="226">
        <f t="shared" si="2"/>
        <v>23.3</v>
      </c>
      <c r="AI20" s="227">
        <f t="shared" si="3"/>
        <v>23.2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0</v>
      </c>
      <c r="N25" s="221">
        <v>0</v>
      </c>
      <c r="O25" s="221">
        <v>0</v>
      </c>
      <c r="P25" s="221">
        <v>0</v>
      </c>
      <c r="Q25" s="221">
        <v>0</v>
      </c>
      <c r="R25" s="221">
        <v>0</v>
      </c>
      <c r="S25" s="221">
        <v>0</v>
      </c>
      <c r="T25" s="221">
        <v>0</v>
      </c>
      <c r="U25" s="221">
        <v>0</v>
      </c>
      <c r="V25" s="221">
        <v>0</v>
      </c>
      <c r="W25" s="221">
        <v>0</v>
      </c>
      <c r="X25" s="221">
        <v>0</v>
      </c>
      <c r="Y25" s="221">
        <v>0</v>
      </c>
      <c r="Z25" s="221">
        <v>0</v>
      </c>
      <c r="AA25" s="221">
        <v>0</v>
      </c>
      <c r="AB25" s="221">
        <v>0</v>
      </c>
      <c r="AC25" s="221">
        <v>0</v>
      </c>
      <c r="AD25" s="221">
        <v>12</v>
      </c>
      <c r="AE25" s="221">
        <v>12</v>
      </c>
      <c r="AF25" s="221">
        <v>5</v>
      </c>
      <c r="AG25" s="229">
        <v>20</v>
      </c>
      <c r="AH25" s="226">
        <f t="shared" si="2"/>
        <v>12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0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0</v>
      </c>
      <c r="C27" s="221">
        <v>0</v>
      </c>
      <c r="D27" s="221">
        <v>0</v>
      </c>
      <c r="E27" s="221">
        <v>0</v>
      </c>
      <c r="F27" s="221">
        <v>0</v>
      </c>
      <c r="G27" s="221">
        <v>0</v>
      </c>
      <c r="H27" s="221">
        <v>0</v>
      </c>
      <c r="I27" s="221">
        <v>0</v>
      </c>
      <c r="J27" s="221">
        <v>0</v>
      </c>
      <c r="K27" s="221">
        <v>0</v>
      </c>
      <c r="L27" s="221">
        <v>0</v>
      </c>
      <c r="M27" s="221">
        <v>0</v>
      </c>
      <c r="N27" s="221">
        <v>0</v>
      </c>
      <c r="O27" s="221">
        <v>0</v>
      </c>
      <c r="P27" s="221">
        <v>0</v>
      </c>
      <c r="Q27" s="221">
        <v>0</v>
      </c>
      <c r="R27" s="221">
        <v>0</v>
      </c>
      <c r="S27" s="221">
        <v>0</v>
      </c>
      <c r="T27" s="221">
        <v>0</v>
      </c>
      <c r="U27" s="221">
        <v>0</v>
      </c>
      <c r="V27" s="221">
        <v>0</v>
      </c>
      <c r="W27" s="221">
        <v>0</v>
      </c>
      <c r="X27" s="221">
        <v>0</v>
      </c>
      <c r="Y27" s="221">
        <v>0</v>
      </c>
      <c r="Z27" s="221">
        <v>0</v>
      </c>
      <c r="AA27" s="221">
        <v>0</v>
      </c>
      <c r="AB27" s="221">
        <v>0</v>
      </c>
      <c r="AC27" s="221">
        <v>10</v>
      </c>
      <c r="AD27" s="221">
        <v>10</v>
      </c>
      <c r="AE27" s="221">
        <v>10</v>
      </c>
      <c r="AF27" s="221">
        <v>10</v>
      </c>
      <c r="AG27" s="229">
        <v>13.6</v>
      </c>
      <c r="AH27" s="226">
        <f t="shared" si="2"/>
        <v>10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0</v>
      </c>
      <c r="C29" s="221">
        <v>0</v>
      </c>
      <c r="D29" s="221">
        <v>0</v>
      </c>
      <c r="E29" s="221">
        <v>4</v>
      </c>
      <c r="F29" s="221">
        <v>4</v>
      </c>
      <c r="G29" s="221">
        <v>4</v>
      </c>
      <c r="H29" s="221">
        <v>4</v>
      </c>
      <c r="I29" s="221">
        <v>4</v>
      </c>
      <c r="J29" s="221">
        <v>4</v>
      </c>
      <c r="K29" s="221">
        <v>4</v>
      </c>
      <c r="L29" s="221">
        <v>4</v>
      </c>
      <c r="M29" s="221">
        <v>4</v>
      </c>
      <c r="N29" s="221">
        <v>4</v>
      </c>
      <c r="O29" s="221">
        <v>4</v>
      </c>
      <c r="P29" s="221">
        <v>4</v>
      </c>
      <c r="Q29" s="221">
        <v>4</v>
      </c>
      <c r="R29" s="221">
        <v>4</v>
      </c>
      <c r="S29" s="221">
        <v>4</v>
      </c>
      <c r="T29" s="221">
        <v>4</v>
      </c>
      <c r="U29" s="221">
        <v>4</v>
      </c>
      <c r="V29" s="221">
        <v>4</v>
      </c>
      <c r="W29" s="221">
        <v>4</v>
      </c>
      <c r="X29" s="221">
        <v>4</v>
      </c>
      <c r="Y29" s="221">
        <v>4</v>
      </c>
      <c r="Z29" s="221">
        <v>4</v>
      </c>
      <c r="AA29" s="221">
        <v>4</v>
      </c>
      <c r="AB29" s="221">
        <v>4</v>
      </c>
      <c r="AC29" s="221">
        <v>4</v>
      </c>
      <c r="AD29" s="221">
        <v>4</v>
      </c>
      <c r="AE29" s="221">
        <v>4</v>
      </c>
      <c r="AF29" s="221">
        <v>4</v>
      </c>
      <c r="AG29" s="229">
        <v>12</v>
      </c>
      <c r="AH29" s="226">
        <f t="shared" si="2"/>
        <v>4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0</v>
      </c>
      <c r="C34" s="221">
        <v>0</v>
      </c>
      <c r="D34" s="221">
        <v>0</v>
      </c>
      <c r="E34" s="221">
        <v>0</v>
      </c>
      <c r="F34" s="221">
        <v>0</v>
      </c>
      <c r="G34" s="221">
        <v>0</v>
      </c>
      <c r="H34" s="221">
        <v>0</v>
      </c>
      <c r="I34" s="221">
        <v>0</v>
      </c>
      <c r="J34" s="221">
        <v>0</v>
      </c>
      <c r="K34" s="221">
        <v>0</v>
      </c>
      <c r="L34" s="221">
        <v>0</v>
      </c>
      <c r="M34" s="221">
        <v>0</v>
      </c>
      <c r="N34" s="221">
        <v>0</v>
      </c>
      <c r="O34" s="221">
        <v>0</v>
      </c>
      <c r="P34" s="221">
        <v>0</v>
      </c>
      <c r="Q34" s="221">
        <v>0</v>
      </c>
      <c r="R34" s="221">
        <v>0</v>
      </c>
      <c r="S34" s="221">
        <v>0</v>
      </c>
      <c r="T34" s="221">
        <v>0</v>
      </c>
      <c r="U34" s="221">
        <v>0</v>
      </c>
      <c r="V34" s="221">
        <v>0</v>
      </c>
      <c r="W34" s="221">
        <v>0</v>
      </c>
      <c r="X34" s="221">
        <v>0</v>
      </c>
      <c r="Y34" s="221">
        <v>0</v>
      </c>
      <c r="Z34" s="221">
        <v>0</v>
      </c>
      <c r="AA34" s="221">
        <v>0</v>
      </c>
      <c r="AB34" s="221">
        <v>0</v>
      </c>
      <c r="AC34" s="221">
        <v>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301</v>
      </c>
      <c r="C36" s="237">
        <v>301</v>
      </c>
      <c r="D36" s="237">
        <v>301</v>
      </c>
      <c r="E36" s="237">
        <v>301</v>
      </c>
      <c r="F36" s="237">
        <v>301</v>
      </c>
      <c r="G36" s="237">
        <v>301</v>
      </c>
      <c r="H36" s="237">
        <v>301</v>
      </c>
      <c r="I36" s="237">
        <v>301</v>
      </c>
      <c r="J36" s="237">
        <v>301</v>
      </c>
      <c r="K36" s="237">
        <v>301</v>
      </c>
      <c r="L36" s="237">
        <v>301</v>
      </c>
      <c r="M36" s="237">
        <v>301</v>
      </c>
      <c r="N36" s="237">
        <v>301</v>
      </c>
      <c r="O36" s="237">
        <v>301</v>
      </c>
      <c r="P36" s="237">
        <v>301</v>
      </c>
      <c r="Q36" s="237">
        <v>301</v>
      </c>
      <c r="R36" s="237">
        <v>301</v>
      </c>
      <c r="S36" s="237">
        <v>301</v>
      </c>
      <c r="T36" s="237">
        <v>301</v>
      </c>
      <c r="U36" s="237">
        <v>301</v>
      </c>
      <c r="V36" s="237">
        <v>301</v>
      </c>
      <c r="W36" s="237">
        <v>301</v>
      </c>
      <c r="X36" s="237">
        <v>301</v>
      </c>
      <c r="Y36" s="237">
        <v>301</v>
      </c>
      <c r="Z36" s="237">
        <v>301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301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f>95.9+78.5</f>
        <v>174.4</v>
      </c>
      <c r="C37" s="237">
        <f>95.6+78.4</f>
        <v>174</v>
      </c>
      <c r="D37" s="237">
        <f>91.5+78.8</f>
        <v>170.3</v>
      </c>
      <c r="E37" s="237">
        <f>89.7+78.6</f>
        <v>168.3</v>
      </c>
      <c r="F37" s="237">
        <f>94.1+77.2</f>
        <v>171.3</v>
      </c>
      <c r="G37" s="237">
        <f>94.5+45</f>
        <v>139.5</v>
      </c>
      <c r="H37" s="237">
        <f>79.7+78.4</f>
        <v>158.10000000000002</v>
      </c>
      <c r="I37" s="237">
        <v>160</v>
      </c>
      <c r="J37" s="237">
        <f>90.9+69.2</f>
        <v>160.10000000000002</v>
      </c>
      <c r="K37" s="237">
        <f>93.6+40.1</f>
        <v>133.69999999999999</v>
      </c>
      <c r="L37" s="237">
        <f>94.6+77.8</f>
        <v>172.39999999999998</v>
      </c>
      <c r="M37" s="237">
        <f>52+37.9</f>
        <v>89.9</v>
      </c>
      <c r="N37" s="237">
        <f>77+81.4</f>
        <v>158.4</v>
      </c>
      <c r="O37" s="237">
        <f>78.7+75.6</f>
        <v>154.30000000000001</v>
      </c>
      <c r="P37" s="237">
        <f>77.9+83.3</f>
        <v>161.19999999999999</v>
      </c>
      <c r="Q37" s="237">
        <f>77.9+83.3</f>
        <v>161.19999999999999</v>
      </c>
      <c r="R37" s="237">
        <f>77.9+83.3</f>
        <v>161.19999999999999</v>
      </c>
      <c r="S37" s="237">
        <f>76.3+90.4</f>
        <v>166.7</v>
      </c>
      <c r="T37" s="239">
        <f>94.9+76.6</f>
        <v>171.5</v>
      </c>
      <c r="U37" s="239">
        <f>45.6+96.7</f>
        <v>142.30000000000001</v>
      </c>
      <c r="V37" s="239">
        <f>61.8+98.4</f>
        <v>160.19999999999999</v>
      </c>
      <c r="W37" s="239">
        <f>63.2+91.5</f>
        <v>154.69999999999999</v>
      </c>
      <c r="X37" s="239">
        <f>68.4+95</f>
        <v>163.4</v>
      </c>
      <c r="Y37" s="239">
        <f>68.4+95</f>
        <v>163.4</v>
      </c>
      <c r="Z37" s="239">
        <f>98.1+76.1</f>
        <v>174.2</v>
      </c>
      <c r="AA37" s="239">
        <v>174.2</v>
      </c>
      <c r="AB37" s="239">
        <v>174.2</v>
      </c>
      <c r="AC37" s="239">
        <v>174.2</v>
      </c>
      <c r="AD37" s="239">
        <v>174.2</v>
      </c>
      <c r="AE37" s="239">
        <v>174.2</v>
      </c>
      <c r="AF37" s="239">
        <v>180</v>
      </c>
      <c r="AG37" s="235">
        <v>240</v>
      </c>
      <c r="AH37" s="226">
        <f t="shared" si="2"/>
        <v>180</v>
      </c>
      <c r="AI37" s="227">
        <f t="shared" si="3"/>
        <v>89.9</v>
      </c>
      <c r="AK37" s="228"/>
    </row>
    <row r="38" spans="1:88" ht="15.75" thickBot="1" x14ac:dyDescent="0.3">
      <c r="A38" s="240" t="s">
        <v>46</v>
      </c>
      <c r="B38" s="241">
        <f>SUM(B11:B36)</f>
        <v>736</v>
      </c>
      <c r="C38" s="241">
        <f t="shared" ref="C38:AG38" si="4">SUM(C11:C36)</f>
        <v>741</v>
      </c>
      <c r="D38" s="241">
        <f t="shared" si="4"/>
        <v>736.2</v>
      </c>
      <c r="E38" s="241">
        <f t="shared" si="4"/>
        <v>724.5</v>
      </c>
      <c r="F38" s="241">
        <f t="shared" si="4"/>
        <v>721.5</v>
      </c>
      <c r="G38" s="241">
        <f t="shared" si="4"/>
        <v>721.5</v>
      </c>
      <c r="H38" s="241">
        <f t="shared" si="4"/>
        <v>721.5</v>
      </c>
      <c r="I38" s="241">
        <f t="shared" si="4"/>
        <v>721.5</v>
      </c>
      <c r="J38" s="241">
        <f t="shared" si="4"/>
        <v>721.5</v>
      </c>
      <c r="K38" s="241">
        <f t="shared" si="4"/>
        <v>736.5</v>
      </c>
      <c r="L38" s="241">
        <f t="shared" si="4"/>
        <v>739.5</v>
      </c>
      <c r="M38" s="241">
        <f t="shared" si="4"/>
        <v>737.59999999999991</v>
      </c>
      <c r="N38" s="241">
        <f t="shared" si="4"/>
        <v>737.59999999999991</v>
      </c>
      <c r="O38" s="241">
        <f t="shared" si="4"/>
        <v>742.59999999999991</v>
      </c>
      <c r="P38" s="241">
        <f t="shared" si="4"/>
        <v>764.3</v>
      </c>
      <c r="Q38" s="241">
        <f t="shared" si="4"/>
        <v>764.59999999999991</v>
      </c>
      <c r="R38" s="241">
        <f t="shared" si="4"/>
        <v>746.59999999999991</v>
      </c>
      <c r="S38" s="241">
        <f t="shared" si="4"/>
        <v>746.59999999999991</v>
      </c>
      <c r="T38" s="241">
        <f t="shared" si="4"/>
        <v>746.59999999999991</v>
      </c>
      <c r="U38" s="241">
        <f t="shared" si="4"/>
        <v>721.59999999999991</v>
      </c>
      <c r="V38" s="241">
        <f t="shared" si="4"/>
        <v>739.7</v>
      </c>
      <c r="W38" s="241">
        <f t="shared" si="4"/>
        <v>754.59999999999991</v>
      </c>
      <c r="X38" s="241">
        <f t="shared" si="4"/>
        <v>752.09999999999991</v>
      </c>
      <c r="Y38" s="241">
        <f t="shared" si="4"/>
        <v>752.09999999999991</v>
      </c>
      <c r="Z38" s="241">
        <f t="shared" si="4"/>
        <v>752.09999999999991</v>
      </c>
      <c r="AA38" s="241">
        <f t="shared" si="4"/>
        <v>741.3</v>
      </c>
      <c r="AB38" s="241">
        <f t="shared" si="4"/>
        <v>741.3</v>
      </c>
      <c r="AC38" s="241">
        <f t="shared" si="4"/>
        <v>786.3</v>
      </c>
      <c r="AD38" s="241">
        <f t="shared" si="4"/>
        <v>806.3</v>
      </c>
      <c r="AE38" s="241">
        <f t="shared" si="4"/>
        <v>806.3</v>
      </c>
      <c r="AF38" s="241">
        <f t="shared" si="4"/>
        <v>789.09999999999991</v>
      </c>
      <c r="AG38" s="242">
        <f t="shared" si="4"/>
        <v>665.78</v>
      </c>
      <c r="AH38" s="226">
        <f t="shared" si="2"/>
        <v>806.3</v>
      </c>
      <c r="AI38" s="227">
        <f t="shared" si="3"/>
        <v>721.5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440</v>
      </c>
      <c r="G39" s="221">
        <v>456</v>
      </c>
      <c r="H39" s="221">
        <v>456</v>
      </c>
      <c r="I39" s="221">
        <v>410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410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522</v>
      </c>
      <c r="G42" s="241">
        <f t="shared" si="5"/>
        <v>538</v>
      </c>
      <c r="H42" s="241">
        <f t="shared" si="5"/>
        <v>538</v>
      </c>
      <c r="I42" s="241">
        <f t="shared" si="5"/>
        <v>492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492</v>
      </c>
      <c r="AK42" s="228"/>
    </row>
    <row r="43" spans="1:88" x14ac:dyDescent="0.25">
      <c r="A43" s="220" t="s">
        <v>51</v>
      </c>
      <c r="B43" s="221">
        <v>139.5</v>
      </c>
      <c r="C43" s="221">
        <v>138.6</v>
      </c>
      <c r="D43" s="221">
        <v>139.6</v>
      </c>
      <c r="E43" s="221">
        <v>139</v>
      </c>
      <c r="F43" s="221">
        <v>139</v>
      </c>
      <c r="G43" s="221">
        <v>138.80000000000001</v>
      </c>
      <c r="H43" s="221">
        <v>138.80000000000001</v>
      </c>
      <c r="I43" s="221">
        <v>139</v>
      </c>
      <c r="J43" s="221">
        <v>138.4</v>
      </c>
      <c r="K43" s="221">
        <v>138.1</v>
      </c>
      <c r="L43" s="221">
        <v>138.1</v>
      </c>
      <c r="M43" s="221">
        <v>138.1</v>
      </c>
      <c r="N43" s="221">
        <v>140</v>
      </c>
      <c r="O43" s="221">
        <v>140</v>
      </c>
      <c r="P43" s="221">
        <v>140.1</v>
      </c>
      <c r="Q43" s="221">
        <v>139</v>
      </c>
      <c r="R43" s="221">
        <v>139</v>
      </c>
      <c r="S43" s="221">
        <v>139</v>
      </c>
      <c r="T43" s="221">
        <v>139</v>
      </c>
      <c r="U43" s="221">
        <v>139</v>
      </c>
      <c r="V43" s="221">
        <v>139</v>
      </c>
      <c r="W43" s="221">
        <v>139</v>
      </c>
      <c r="X43" s="221">
        <v>136.5</v>
      </c>
      <c r="Y43" s="221">
        <v>136.9</v>
      </c>
      <c r="Z43" s="221">
        <v>136.9</v>
      </c>
      <c r="AA43" s="221">
        <v>137</v>
      </c>
      <c r="AB43" s="221">
        <v>137</v>
      </c>
      <c r="AC43" s="221">
        <v>137</v>
      </c>
      <c r="AD43" s="221">
        <v>137</v>
      </c>
      <c r="AE43" s="221">
        <v>137</v>
      </c>
      <c r="AF43" s="221">
        <v>137</v>
      </c>
      <c r="AG43" s="230">
        <v>144</v>
      </c>
      <c r="AH43" s="226">
        <f t="shared" si="2"/>
        <v>140.1</v>
      </c>
      <c r="AI43" s="227">
        <f t="shared" si="3"/>
        <v>136.5</v>
      </c>
      <c r="AK43" s="228"/>
    </row>
    <row r="44" spans="1:88" x14ac:dyDescent="0.25">
      <c r="A44" s="234" t="s">
        <v>52</v>
      </c>
      <c r="B44" s="245">
        <v>70.599999999999994</v>
      </c>
      <c r="C44" s="245">
        <v>70.5</v>
      </c>
      <c r="D44" s="245">
        <v>70.5</v>
      </c>
      <c r="E44" s="245">
        <v>71.2</v>
      </c>
      <c r="F44" s="245">
        <v>71.2</v>
      </c>
      <c r="G44" s="245">
        <v>71.5</v>
      </c>
      <c r="H44" s="245">
        <v>71.5</v>
      </c>
      <c r="I44" s="245">
        <v>71.5</v>
      </c>
      <c r="J44" s="245">
        <v>70.400000000000006</v>
      </c>
      <c r="K44" s="245">
        <v>70.400000000000006</v>
      </c>
      <c r="L44" s="245">
        <v>71.2</v>
      </c>
      <c r="M44" s="245">
        <v>71.2</v>
      </c>
      <c r="N44" s="245">
        <v>71.2</v>
      </c>
      <c r="O44" s="245">
        <v>71.2</v>
      </c>
      <c r="P44" s="245">
        <v>71.599999999999994</v>
      </c>
      <c r="Q44" s="221">
        <v>70</v>
      </c>
      <c r="R44" s="221">
        <v>70</v>
      </c>
      <c r="S44" s="221">
        <v>70</v>
      </c>
      <c r="T44" s="221">
        <v>70</v>
      </c>
      <c r="U44" s="221">
        <v>70</v>
      </c>
      <c r="V44" s="221">
        <v>70</v>
      </c>
      <c r="W44" s="221">
        <v>70</v>
      </c>
      <c r="X44" s="245">
        <v>67.3</v>
      </c>
      <c r="Y44" s="245">
        <v>67.400000000000006</v>
      </c>
      <c r="Z44" s="245">
        <v>67.400000000000006</v>
      </c>
      <c r="AA44" s="245">
        <v>67</v>
      </c>
      <c r="AB44" s="245">
        <v>67</v>
      </c>
      <c r="AC44" s="245">
        <v>67</v>
      </c>
      <c r="AD44" s="245">
        <v>67</v>
      </c>
      <c r="AE44" s="245">
        <v>67</v>
      </c>
      <c r="AF44" s="245">
        <v>67</v>
      </c>
      <c r="AG44" s="235">
        <v>70</v>
      </c>
      <c r="AH44" s="226">
        <f t="shared" si="2"/>
        <v>71.599999999999994</v>
      </c>
      <c r="AI44" s="227">
        <f t="shared" si="3"/>
        <v>67</v>
      </c>
      <c r="AK44" s="228"/>
    </row>
    <row r="45" spans="1:88" x14ac:dyDescent="0.25">
      <c r="A45" s="234" t="s">
        <v>53</v>
      </c>
      <c r="B45" s="245">
        <v>63.2</v>
      </c>
      <c r="C45" s="245">
        <v>63.4</v>
      </c>
      <c r="D45" s="245">
        <v>62.6</v>
      </c>
      <c r="E45" s="245">
        <v>62.3</v>
      </c>
      <c r="F45" s="245">
        <v>62.3</v>
      </c>
      <c r="G45" s="245">
        <v>61.4</v>
      </c>
      <c r="H45" s="245">
        <v>61.4</v>
      </c>
      <c r="I45" s="245">
        <v>61.4</v>
      </c>
      <c r="J45" s="245">
        <v>61.8</v>
      </c>
      <c r="K45" s="245">
        <v>61.8</v>
      </c>
      <c r="L45" s="245">
        <v>61.7</v>
      </c>
      <c r="M45" s="245">
        <v>61.7</v>
      </c>
      <c r="N45" s="245">
        <v>61.7</v>
      </c>
      <c r="O45" s="245">
        <v>61.7</v>
      </c>
      <c r="P45" s="245">
        <v>44.2</v>
      </c>
      <c r="Q45" s="221">
        <v>62.4</v>
      </c>
      <c r="R45" s="221">
        <v>62.4</v>
      </c>
      <c r="S45" s="221">
        <v>62.4</v>
      </c>
      <c r="T45" s="221">
        <v>62.4</v>
      </c>
      <c r="U45" s="221">
        <v>62.4</v>
      </c>
      <c r="V45" s="221">
        <v>62.4</v>
      </c>
      <c r="W45" s="221">
        <v>62.4</v>
      </c>
      <c r="X45" s="245">
        <v>61.6</v>
      </c>
      <c r="Y45" s="245">
        <v>61.9</v>
      </c>
      <c r="Z45" s="245">
        <v>61.9</v>
      </c>
      <c r="AA45" s="245">
        <v>61.9</v>
      </c>
      <c r="AB45" s="245">
        <v>61.9</v>
      </c>
      <c r="AC45" s="245">
        <v>61.9</v>
      </c>
      <c r="AD45" s="245">
        <v>61.9</v>
      </c>
      <c r="AE45" s="245">
        <v>61.9</v>
      </c>
      <c r="AF45" s="245">
        <v>61.9</v>
      </c>
      <c r="AG45" s="235">
        <v>69</v>
      </c>
      <c r="AH45" s="226">
        <f t="shared" si="2"/>
        <v>63.4</v>
      </c>
      <c r="AI45" s="227">
        <f t="shared" si="3"/>
        <v>44.2</v>
      </c>
      <c r="AK45" s="228"/>
    </row>
    <row r="46" spans="1:88" x14ac:dyDescent="0.25">
      <c r="A46" s="234" t="s">
        <v>54</v>
      </c>
      <c r="B46" s="237">
        <v>61</v>
      </c>
      <c r="C46" s="237">
        <v>61</v>
      </c>
      <c r="D46" s="237">
        <v>60.7</v>
      </c>
      <c r="E46" s="237">
        <v>60.4</v>
      </c>
      <c r="F46" s="237">
        <v>60.4</v>
      </c>
      <c r="G46" s="237">
        <v>60.4</v>
      </c>
      <c r="H46" s="237">
        <v>60.4</v>
      </c>
      <c r="I46" s="237">
        <v>60.4</v>
      </c>
      <c r="J46" s="237">
        <v>60.4</v>
      </c>
      <c r="K46" s="237">
        <v>60.4</v>
      </c>
      <c r="L46" s="237">
        <v>60.4</v>
      </c>
      <c r="M46" s="237">
        <v>60.4</v>
      </c>
      <c r="N46" s="237">
        <v>60.4</v>
      </c>
      <c r="O46" s="237">
        <v>60.4</v>
      </c>
      <c r="P46" s="237">
        <v>61</v>
      </c>
      <c r="Q46" s="221">
        <v>61</v>
      </c>
      <c r="R46" s="221">
        <v>61</v>
      </c>
      <c r="S46" s="221">
        <v>60</v>
      </c>
      <c r="T46" s="221">
        <v>60</v>
      </c>
      <c r="U46" s="221">
        <v>60</v>
      </c>
      <c r="V46" s="221">
        <v>60</v>
      </c>
      <c r="W46" s="221">
        <v>60</v>
      </c>
      <c r="X46" s="245">
        <v>61</v>
      </c>
      <c r="Y46" s="245">
        <v>61</v>
      </c>
      <c r="Z46" s="245">
        <v>61</v>
      </c>
      <c r="AA46" s="245">
        <v>61.2</v>
      </c>
      <c r="AB46" s="245">
        <v>61.2</v>
      </c>
      <c r="AC46" s="245">
        <v>61.2</v>
      </c>
      <c r="AD46" s="245">
        <v>61.2</v>
      </c>
      <c r="AE46" s="245">
        <v>61.2</v>
      </c>
      <c r="AF46" s="245">
        <v>61.2</v>
      </c>
      <c r="AG46" s="235">
        <v>60</v>
      </c>
      <c r="AH46" s="226">
        <f t="shared" si="2"/>
        <v>61.2</v>
      </c>
      <c r="AI46" s="227">
        <f t="shared" si="3"/>
        <v>60</v>
      </c>
      <c r="AK46" s="228"/>
    </row>
    <row r="47" spans="1:88" x14ac:dyDescent="0.25">
      <c r="A47" s="234" t="s">
        <v>55</v>
      </c>
      <c r="B47" s="237">
        <v>28.8</v>
      </c>
      <c r="C47" s="237">
        <v>28.6</v>
      </c>
      <c r="D47" s="237">
        <v>28.5</v>
      </c>
      <c r="E47" s="237">
        <v>28.5</v>
      </c>
      <c r="F47" s="237">
        <v>28.5</v>
      </c>
      <c r="G47" s="237">
        <v>28.4</v>
      </c>
      <c r="H47" s="237">
        <v>28.4</v>
      </c>
      <c r="I47" s="237">
        <v>28.4</v>
      </c>
      <c r="J47" s="237">
        <v>28.4</v>
      </c>
      <c r="K47" s="237">
        <v>28.4</v>
      </c>
      <c r="L47" s="237">
        <v>28.4</v>
      </c>
      <c r="M47" s="237">
        <v>28.4</v>
      </c>
      <c r="N47" s="237">
        <v>28.4</v>
      </c>
      <c r="O47" s="237">
        <v>28.4</v>
      </c>
      <c r="P47" s="237">
        <v>28.7</v>
      </c>
      <c r="Q47" s="221">
        <v>28.6</v>
      </c>
      <c r="R47" s="221">
        <v>28.6</v>
      </c>
      <c r="S47" s="221">
        <v>28.6</v>
      </c>
      <c r="T47" s="221">
        <v>28.6</v>
      </c>
      <c r="U47" s="221">
        <v>28.6</v>
      </c>
      <c r="V47" s="221">
        <v>28.6</v>
      </c>
      <c r="W47" s="221">
        <v>28.6</v>
      </c>
      <c r="X47" s="245">
        <v>28.5</v>
      </c>
      <c r="Y47" s="245">
        <v>28.5</v>
      </c>
      <c r="Z47" s="245">
        <v>28.5</v>
      </c>
      <c r="AA47" s="245">
        <v>28.5</v>
      </c>
      <c r="AB47" s="245">
        <v>28.5</v>
      </c>
      <c r="AC47" s="245">
        <v>28.5</v>
      </c>
      <c r="AD47" s="245">
        <v>28.5</v>
      </c>
      <c r="AE47" s="245">
        <v>15</v>
      </c>
      <c r="AF47" s="245">
        <v>29</v>
      </c>
      <c r="AG47" s="235">
        <v>30</v>
      </c>
      <c r="AH47" s="226">
        <f t="shared" si="2"/>
        <v>29</v>
      </c>
      <c r="AI47" s="227">
        <f t="shared" si="3"/>
        <v>15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8</v>
      </c>
      <c r="N48" s="245">
        <v>8</v>
      </c>
      <c r="O48" s="245">
        <v>8</v>
      </c>
      <c r="P48" s="245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17.5</v>
      </c>
      <c r="C49" s="245">
        <v>17.5</v>
      </c>
      <c r="D49" s="245">
        <v>17.5</v>
      </c>
      <c r="E49" s="245">
        <v>17.5</v>
      </c>
      <c r="F49" s="245">
        <v>17.5</v>
      </c>
      <c r="G49" s="245">
        <v>17.5</v>
      </c>
      <c r="H49" s="245">
        <v>17.5</v>
      </c>
      <c r="I49" s="245">
        <v>17.5</v>
      </c>
      <c r="J49" s="245">
        <v>17.5</v>
      </c>
      <c r="K49" s="245">
        <v>17.5</v>
      </c>
      <c r="L49" s="245">
        <v>17.5</v>
      </c>
      <c r="M49" s="245">
        <v>17.5</v>
      </c>
      <c r="N49" s="245">
        <v>17.5</v>
      </c>
      <c r="O49" s="245">
        <v>17.5</v>
      </c>
      <c r="P49" s="245">
        <v>17.3</v>
      </c>
      <c r="Q49" s="245">
        <v>17.3</v>
      </c>
      <c r="R49" s="245">
        <v>17.3</v>
      </c>
      <c r="S49" s="245">
        <v>17.3</v>
      </c>
      <c r="T49" s="245">
        <v>17.3</v>
      </c>
      <c r="U49" s="245">
        <v>17.3</v>
      </c>
      <c r="V49" s="245">
        <v>17.3</v>
      </c>
      <c r="W49" s="245">
        <v>17.3</v>
      </c>
      <c r="X49" s="245">
        <v>17.3</v>
      </c>
      <c r="Y49" s="245">
        <v>17.3</v>
      </c>
      <c r="Z49" s="245">
        <v>17.3</v>
      </c>
      <c r="AA49" s="221">
        <v>17.3</v>
      </c>
      <c r="AB49" s="221">
        <v>17.3</v>
      </c>
      <c r="AC49" s="221">
        <v>17.3</v>
      </c>
      <c r="AD49" s="221">
        <v>17.3</v>
      </c>
      <c r="AE49" s="221">
        <v>17.3</v>
      </c>
      <c r="AF49" s="221">
        <v>17.3</v>
      </c>
      <c r="AG49" s="235">
        <v>24</v>
      </c>
      <c r="AH49" s="226">
        <f t="shared" si="2"/>
        <v>17.5</v>
      </c>
      <c r="AI49" s="227">
        <f t="shared" si="3"/>
        <v>17.3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21">
        <v>2.5</v>
      </c>
      <c r="U50" s="221">
        <v>2.5</v>
      </c>
      <c r="V50" s="221">
        <v>2.5</v>
      </c>
      <c r="W50" s="221">
        <v>2.5</v>
      </c>
      <c r="X50" s="221">
        <v>2.5</v>
      </c>
      <c r="Y50" s="221">
        <v>2.5</v>
      </c>
      <c r="Z50" s="221">
        <v>2.5</v>
      </c>
      <c r="AA50" s="221">
        <v>2.5</v>
      </c>
      <c r="AB50" s="221">
        <v>2.5</v>
      </c>
      <c r="AC50" s="221">
        <v>2.5</v>
      </c>
      <c r="AD50" s="221">
        <v>2.5</v>
      </c>
      <c r="AE50" s="221">
        <v>2.5</v>
      </c>
      <c r="AF50" s="221">
        <v>2.5</v>
      </c>
      <c r="AG50" s="235">
        <v>15</v>
      </c>
      <c r="AH50" s="226">
        <f t="shared" si="2"/>
        <v>3</v>
      </c>
      <c r="AI50" s="227">
        <f t="shared" si="3"/>
        <v>2.5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12.8</v>
      </c>
      <c r="C51" s="245">
        <v>12.8</v>
      </c>
      <c r="D51" s="245">
        <v>12.8</v>
      </c>
      <c r="E51" s="245">
        <v>13.1</v>
      </c>
      <c r="F51" s="245">
        <v>13.1</v>
      </c>
      <c r="G51" s="245">
        <v>13.1</v>
      </c>
      <c r="H51" s="245">
        <v>13.1</v>
      </c>
      <c r="I51" s="245">
        <v>13.1</v>
      </c>
      <c r="J51" s="245">
        <v>13.1</v>
      </c>
      <c r="K51" s="245">
        <v>13.1</v>
      </c>
      <c r="L51" s="245">
        <v>13.1</v>
      </c>
      <c r="M51" s="245">
        <v>13.1</v>
      </c>
      <c r="N51" s="245">
        <v>13.1</v>
      </c>
      <c r="O51" s="245">
        <v>13.1</v>
      </c>
      <c r="P51" s="245">
        <v>10.7</v>
      </c>
      <c r="Q51" s="245">
        <v>10.7</v>
      </c>
      <c r="R51" s="245">
        <v>10.7</v>
      </c>
      <c r="S51" s="245">
        <v>10.7</v>
      </c>
      <c r="T51" s="245">
        <v>10.7</v>
      </c>
      <c r="U51" s="245">
        <v>10.7</v>
      </c>
      <c r="V51" s="245">
        <v>10.7</v>
      </c>
      <c r="W51" s="245">
        <v>10.7</v>
      </c>
      <c r="X51" s="245">
        <v>10.7</v>
      </c>
      <c r="Y51" s="245">
        <v>10.7</v>
      </c>
      <c r="Z51" s="245">
        <v>10.7</v>
      </c>
      <c r="AA51" s="221">
        <v>10.7</v>
      </c>
      <c r="AB51" s="221">
        <v>10.7</v>
      </c>
      <c r="AC51" s="221">
        <v>10.7</v>
      </c>
      <c r="AD51" s="221">
        <v>10.7</v>
      </c>
      <c r="AE51" s="221">
        <v>10.7</v>
      </c>
      <c r="AF51" s="221">
        <v>10.7</v>
      </c>
      <c r="AG51" s="235">
        <v>14.1</v>
      </c>
      <c r="AH51" s="226">
        <f t="shared" si="2"/>
        <v>13.1</v>
      </c>
      <c r="AI51" s="227">
        <f t="shared" si="3"/>
        <v>10.7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14.2</v>
      </c>
      <c r="F52" s="245">
        <v>14.2</v>
      </c>
      <c r="G52" s="245">
        <v>14.4</v>
      </c>
      <c r="H52" s="245">
        <v>0</v>
      </c>
      <c r="I52" s="245">
        <v>0</v>
      </c>
      <c r="J52" s="245">
        <v>0</v>
      </c>
      <c r="K52" s="245">
        <v>0</v>
      </c>
      <c r="L52" s="245">
        <v>0</v>
      </c>
      <c r="M52" s="245">
        <v>0</v>
      </c>
      <c r="N52" s="245">
        <v>0</v>
      </c>
      <c r="O52" s="245">
        <v>0</v>
      </c>
      <c r="P52" s="245">
        <v>0</v>
      </c>
      <c r="Q52" s="245">
        <v>0</v>
      </c>
      <c r="R52" s="245">
        <v>0</v>
      </c>
      <c r="S52" s="245">
        <v>0</v>
      </c>
      <c r="T52" s="245">
        <v>0</v>
      </c>
      <c r="U52" s="245">
        <v>0</v>
      </c>
      <c r="V52" s="245">
        <v>0</v>
      </c>
      <c r="W52" s="245">
        <v>0</v>
      </c>
      <c r="X52" s="245">
        <v>0</v>
      </c>
      <c r="Y52" s="245">
        <v>0</v>
      </c>
      <c r="Z52" s="245">
        <v>0</v>
      </c>
      <c r="AA52" s="221">
        <v>0</v>
      </c>
      <c r="AB52" s="221">
        <v>0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14.4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45">
        <v>10</v>
      </c>
      <c r="S53" s="245">
        <v>10</v>
      </c>
      <c r="T53" s="245">
        <v>10</v>
      </c>
      <c r="U53" s="245">
        <v>10</v>
      </c>
      <c r="V53" s="245">
        <v>10</v>
      </c>
      <c r="W53" s="245">
        <v>10</v>
      </c>
      <c r="X53" s="245">
        <v>10</v>
      </c>
      <c r="Y53" s="245">
        <v>10</v>
      </c>
      <c r="Z53" s="245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45">
        <v>6.2</v>
      </c>
      <c r="V54" s="245">
        <v>6.2</v>
      </c>
      <c r="W54" s="245">
        <v>6.2</v>
      </c>
      <c r="X54" s="245">
        <v>6.2</v>
      </c>
      <c r="Y54" s="245">
        <v>6.2</v>
      </c>
      <c r="Z54" s="245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430.14000000000004</v>
      </c>
      <c r="C56" s="241">
        <f t="shared" ref="C56:AG56" si="6">SUM(C43:C55)</f>
        <v>429.14000000000004</v>
      </c>
      <c r="D56" s="241">
        <f t="shared" si="6"/>
        <v>428.94</v>
      </c>
      <c r="E56" s="241">
        <f t="shared" si="6"/>
        <v>428.94</v>
      </c>
      <c r="F56" s="241">
        <f t="shared" si="6"/>
        <v>428.94</v>
      </c>
      <c r="G56" s="241">
        <f t="shared" si="6"/>
        <v>428.23999999999995</v>
      </c>
      <c r="H56" s="241">
        <f t="shared" si="6"/>
        <v>413.84</v>
      </c>
      <c r="I56" s="241">
        <f t="shared" si="6"/>
        <v>414.03999999999996</v>
      </c>
      <c r="J56" s="241">
        <f t="shared" si="6"/>
        <v>412.74</v>
      </c>
      <c r="K56" s="241">
        <f t="shared" si="6"/>
        <v>412.44</v>
      </c>
      <c r="L56" s="241">
        <f t="shared" si="6"/>
        <v>413.14</v>
      </c>
      <c r="M56" s="241">
        <f t="shared" si="6"/>
        <v>421.14</v>
      </c>
      <c r="N56" s="241">
        <f t="shared" si="6"/>
        <v>423.03999999999996</v>
      </c>
      <c r="O56" s="241">
        <f t="shared" si="6"/>
        <v>423.03999999999996</v>
      </c>
      <c r="P56" s="241">
        <f t="shared" si="6"/>
        <v>404.34</v>
      </c>
      <c r="Q56" s="241">
        <f t="shared" si="6"/>
        <v>419.74</v>
      </c>
      <c r="R56" s="241">
        <f t="shared" si="6"/>
        <v>419.74</v>
      </c>
      <c r="S56" s="241">
        <f t="shared" si="6"/>
        <v>418.74</v>
      </c>
      <c r="T56" s="241">
        <f t="shared" si="6"/>
        <v>418.24</v>
      </c>
      <c r="U56" s="241">
        <f t="shared" si="6"/>
        <v>418.24</v>
      </c>
      <c r="V56" s="241">
        <f t="shared" si="6"/>
        <v>418.24</v>
      </c>
      <c r="W56" s="241">
        <f t="shared" si="6"/>
        <v>418.24</v>
      </c>
      <c r="X56" s="241">
        <f t="shared" si="6"/>
        <v>405.14000000000004</v>
      </c>
      <c r="Y56" s="241">
        <f t="shared" si="6"/>
        <v>405.94</v>
      </c>
      <c r="Z56" s="241">
        <f t="shared" si="6"/>
        <v>405.94</v>
      </c>
      <c r="AA56" s="241">
        <f t="shared" si="6"/>
        <v>405.84</v>
      </c>
      <c r="AB56" s="241">
        <f t="shared" si="6"/>
        <v>405.84</v>
      </c>
      <c r="AC56" s="241">
        <f t="shared" si="6"/>
        <v>419.84</v>
      </c>
      <c r="AD56" s="241">
        <f t="shared" si="6"/>
        <v>419.84</v>
      </c>
      <c r="AE56" s="241">
        <f t="shared" si="6"/>
        <v>406.34</v>
      </c>
      <c r="AF56" s="241">
        <f t="shared" si="6"/>
        <v>420.34</v>
      </c>
      <c r="AG56" s="242">
        <f t="shared" si="6"/>
        <v>489.91</v>
      </c>
      <c r="AH56" s="226">
        <f t="shared" si="2"/>
        <v>430.14000000000004</v>
      </c>
      <c r="AI56" s="227">
        <f t="shared" si="3"/>
        <v>404.34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14.2</v>
      </c>
      <c r="Q57" s="221">
        <v>0</v>
      </c>
      <c r="R57" s="221">
        <v>0</v>
      </c>
      <c r="S57" s="221">
        <v>0</v>
      </c>
      <c r="T57" s="221">
        <v>0</v>
      </c>
      <c r="U57" s="221">
        <v>20</v>
      </c>
      <c r="V57" s="221">
        <v>20</v>
      </c>
      <c r="W57" s="221">
        <v>10.4</v>
      </c>
      <c r="X57" s="221">
        <v>0</v>
      </c>
      <c r="Y57" s="221">
        <v>39.200000000000003</v>
      </c>
      <c r="Z57" s="221">
        <v>60.4</v>
      </c>
      <c r="AA57" s="221">
        <v>40</v>
      </c>
      <c r="AB57" s="221">
        <v>50</v>
      </c>
      <c r="AC57" s="221">
        <v>35</v>
      </c>
      <c r="AD57" s="221">
        <v>10</v>
      </c>
      <c r="AE57" s="221">
        <v>0</v>
      </c>
      <c r="AF57" s="221">
        <v>0</v>
      </c>
      <c r="AG57" s="230">
        <v>60</v>
      </c>
      <c r="AH57" s="226">
        <f t="shared" si="2"/>
        <v>60.4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9.1</v>
      </c>
      <c r="Q58" s="245">
        <v>0</v>
      </c>
      <c r="R58" s="245">
        <v>0</v>
      </c>
      <c r="S58" s="245">
        <v>0</v>
      </c>
      <c r="T58" s="245">
        <v>0</v>
      </c>
      <c r="U58" s="245">
        <v>4.5999999999999996</v>
      </c>
      <c r="V58" s="245">
        <v>10.6</v>
      </c>
      <c r="W58" s="245">
        <v>5.3</v>
      </c>
      <c r="X58" s="245">
        <v>0</v>
      </c>
      <c r="Y58" s="245">
        <v>5</v>
      </c>
      <c r="Z58" s="245">
        <v>25.2</v>
      </c>
      <c r="AA58" s="245">
        <v>16.2</v>
      </c>
      <c r="AB58" s="245">
        <v>23</v>
      </c>
      <c r="AC58" s="245">
        <v>15</v>
      </c>
      <c r="AD58" s="245">
        <v>5</v>
      </c>
      <c r="AE58" s="245">
        <v>0</v>
      </c>
      <c r="AF58" s="245">
        <v>0</v>
      </c>
      <c r="AG58" s="235">
        <v>32</v>
      </c>
      <c r="AH58" s="226">
        <f t="shared" si="2"/>
        <v>25.2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3.3</v>
      </c>
      <c r="Q59" s="247">
        <v>0</v>
      </c>
      <c r="R59" s="247">
        <v>0</v>
      </c>
      <c r="S59" s="247">
        <v>0</v>
      </c>
      <c r="T59" s="247">
        <v>0</v>
      </c>
      <c r="U59" s="247">
        <v>1.7</v>
      </c>
      <c r="V59" s="247">
        <v>3.9</v>
      </c>
      <c r="W59" s="247">
        <v>1.9</v>
      </c>
      <c r="X59" s="247">
        <v>0</v>
      </c>
      <c r="Y59" s="247">
        <v>0</v>
      </c>
      <c r="Z59" s="247">
        <v>9.1999999999999993</v>
      </c>
      <c r="AA59" s="247">
        <v>5.9</v>
      </c>
      <c r="AB59" s="247">
        <v>8.6</v>
      </c>
      <c r="AC59" s="247">
        <v>5</v>
      </c>
      <c r="AD59" s="247">
        <v>2</v>
      </c>
      <c r="AE59" s="247">
        <v>0</v>
      </c>
      <c r="AF59" s="247">
        <v>0</v>
      </c>
      <c r="AG59" s="248">
        <v>14</v>
      </c>
      <c r="AH59" s="226">
        <f t="shared" si="2"/>
        <v>9.1999999999999993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26.599999999999998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26.3</v>
      </c>
      <c r="V60" s="241">
        <f t="shared" si="7"/>
        <v>34.5</v>
      </c>
      <c r="W60" s="241">
        <f t="shared" si="7"/>
        <v>17.599999999999998</v>
      </c>
      <c r="X60" s="241">
        <f t="shared" si="7"/>
        <v>0</v>
      </c>
      <c r="Y60" s="241">
        <f t="shared" si="7"/>
        <v>44.2</v>
      </c>
      <c r="Z60" s="241">
        <f t="shared" si="7"/>
        <v>94.8</v>
      </c>
      <c r="AA60" s="241">
        <f t="shared" si="7"/>
        <v>62.1</v>
      </c>
      <c r="AB60" s="241">
        <f t="shared" si="7"/>
        <v>81.599999999999994</v>
      </c>
      <c r="AC60" s="241">
        <f t="shared" si="7"/>
        <v>55</v>
      </c>
      <c r="AD60" s="241">
        <f t="shared" si="7"/>
        <v>17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94.8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24</v>
      </c>
      <c r="C61" s="221">
        <v>18</v>
      </c>
      <c r="D61" s="221">
        <v>6.3</v>
      </c>
      <c r="E61" s="221">
        <v>3.2</v>
      </c>
      <c r="F61" s="221">
        <v>-1.5</v>
      </c>
      <c r="G61" s="221">
        <v>0</v>
      </c>
      <c r="H61" s="221">
        <v>0</v>
      </c>
      <c r="I61" s="221">
        <v>7</v>
      </c>
      <c r="J61" s="221">
        <v>3.4</v>
      </c>
      <c r="K61" s="221">
        <v>3.3</v>
      </c>
      <c r="L61" s="221">
        <v>1.2</v>
      </c>
      <c r="M61" s="221">
        <v>1.2</v>
      </c>
      <c r="N61" s="221">
        <v>2.4</v>
      </c>
      <c r="O61" s="221">
        <v>5.5</v>
      </c>
      <c r="P61" s="221">
        <v>10.4</v>
      </c>
      <c r="Q61" s="221">
        <v>0</v>
      </c>
      <c r="R61" s="221">
        <v>0</v>
      </c>
      <c r="S61" s="221">
        <v>17</v>
      </c>
      <c r="T61" s="221">
        <v>18</v>
      </c>
      <c r="U61" s="221">
        <v>15.5</v>
      </c>
      <c r="V61" s="221">
        <v>10.3</v>
      </c>
      <c r="W61" s="221">
        <v>12</v>
      </c>
      <c r="X61" s="221">
        <v>46.2</v>
      </c>
      <c r="Y61" s="221">
        <v>47.7</v>
      </c>
      <c r="Z61" s="221">
        <v>55</v>
      </c>
      <c r="AA61" s="221">
        <v>64.400000000000006</v>
      </c>
      <c r="AB61" s="221">
        <v>67</v>
      </c>
      <c r="AC61" s="221">
        <v>67</v>
      </c>
      <c r="AD61" s="221">
        <v>68</v>
      </c>
      <c r="AE61" s="221">
        <v>39</v>
      </c>
      <c r="AF61" s="221">
        <v>0</v>
      </c>
      <c r="AG61" s="230"/>
      <c r="AH61" s="226">
        <f t="shared" si="2"/>
        <v>68</v>
      </c>
      <c r="AI61" s="227">
        <f t="shared" si="3"/>
        <v>-1.5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-368.9</v>
      </c>
      <c r="C63" s="245">
        <v>-370.4</v>
      </c>
      <c r="D63" s="245">
        <v>-380.1</v>
      </c>
      <c r="E63" s="245">
        <v>-416</v>
      </c>
      <c r="F63" s="245">
        <v>-400</v>
      </c>
      <c r="G63" s="245">
        <v>-430</v>
      </c>
      <c r="H63" s="245">
        <v>-420</v>
      </c>
      <c r="I63" s="245">
        <v>-440</v>
      </c>
      <c r="J63" s="245">
        <v>-400</v>
      </c>
      <c r="K63" s="245">
        <v>-365</v>
      </c>
      <c r="L63" s="245">
        <v>-380</v>
      </c>
      <c r="M63" s="245">
        <v>-380</v>
      </c>
      <c r="N63" s="245">
        <v>-358</v>
      </c>
      <c r="O63" s="245">
        <v>-337.6</v>
      </c>
      <c r="P63" s="245">
        <v>-378.8</v>
      </c>
      <c r="Q63" s="245">
        <v>-370</v>
      </c>
      <c r="R63" s="245">
        <v>-390</v>
      </c>
      <c r="S63" s="245">
        <v>-369</v>
      </c>
      <c r="T63" s="245">
        <f>-347</f>
        <v>-347</v>
      </c>
      <c r="U63" s="245">
        <f>-347</f>
        <v>-347</v>
      </c>
      <c r="V63" s="245">
        <v>-360</v>
      </c>
      <c r="W63" s="245">
        <v>-345</v>
      </c>
      <c r="X63" s="245">
        <v>-389</v>
      </c>
      <c r="Y63" s="245">
        <v>-324</v>
      </c>
      <c r="Z63" s="245">
        <v>-306</v>
      </c>
      <c r="AA63" s="245">
        <v>-292</v>
      </c>
      <c r="AB63" s="245">
        <v>-302</v>
      </c>
      <c r="AC63" s="245">
        <v>-360</v>
      </c>
      <c r="AD63" s="245">
        <v>-367</v>
      </c>
      <c r="AE63" s="245">
        <v>-379</v>
      </c>
      <c r="AF63" s="245">
        <v>-390</v>
      </c>
      <c r="AG63" s="255"/>
      <c r="AH63" s="226">
        <f t="shared" si="2"/>
        <v>-292</v>
      </c>
      <c r="AI63" s="227">
        <f t="shared" si="3"/>
        <v>-440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12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13</v>
      </c>
      <c r="AA64" s="256">
        <v>13</v>
      </c>
      <c r="AB64" s="256">
        <v>13</v>
      </c>
      <c r="AC64" s="256">
        <v>13</v>
      </c>
      <c r="AD64" s="256">
        <v>0</v>
      </c>
      <c r="AE64" s="256">
        <v>0</v>
      </c>
      <c r="AF64" s="256">
        <v>0</v>
      </c>
      <c r="AG64" s="255"/>
      <c r="AH64" s="226">
        <f t="shared" si="2"/>
        <v>13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56">
        <v>0</v>
      </c>
      <c r="R65" s="256">
        <v>0</v>
      </c>
      <c r="S65" s="256">
        <v>0</v>
      </c>
      <c r="T65" s="256">
        <v>0</v>
      </c>
      <c r="U65" s="256">
        <v>0</v>
      </c>
      <c r="V65" s="256">
        <v>0</v>
      </c>
      <c r="W65" s="256">
        <v>0</v>
      </c>
      <c r="X65" s="256">
        <v>0</v>
      </c>
      <c r="Y65" s="256">
        <v>0</v>
      </c>
      <c r="Z65" s="256">
        <v>0</v>
      </c>
      <c r="AA65" s="256">
        <v>0</v>
      </c>
      <c r="AB65" s="256">
        <v>0</v>
      </c>
      <c r="AC65" s="256">
        <v>0</v>
      </c>
      <c r="AD65" s="256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6">
        <v>0</v>
      </c>
      <c r="R66" s="256">
        <v>0</v>
      </c>
      <c r="S66" s="256">
        <v>0</v>
      </c>
      <c r="T66" s="256">
        <v>0</v>
      </c>
      <c r="U66" s="256">
        <v>0</v>
      </c>
      <c r="V66" s="256">
        <v>0</v>
      </c>
      <c r="W66" s="256">
        <v>0</v>
      </c>
      <c r="X66" s="256">
        <v>0</v>
      </c>
      <c r="Y66" s="256">
        <v>0</v>
      </c>
      <c r="Z66" s="256">
        <v>10</v>
      </c>
      <c r="AA66" s="256">
        <v>10</v>
      </c>
      <c r="AB66" s="256">
        <v>10</v>
      </c>
      <c r="AC66" s="256">
        <v>10</v>
      </c>
      <c r="AD66" s="256">
        <v>8</v>
      </c>
      <c r="AE66" s="257">
        <v>0</v>
      </c>
      <c r="AF66" s="257">
        <v>0</v>
      </c>
      <c r="AG66" s="255"/>
      <c r="AH66" s="226">
        <f t="shared" si="2"/>
        <v>10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6">
        <v>0</v>
      </c>
      <c r="R67" s="256">
        <v>0</v>
      </c>
      <c r="S67" s="256">
        <v>0</v>
      </c>
      <c r="T67" s="256">
        <v>0</v>
      </c>
      <c r="U67" s="256">
        <v>0</v>
      </c>
      <c r="V67" s="256">
        <v>0</v>
      </c>
      <c r="W67" s="256">
        <v>0</v>
      </c>
      <c r="X67" s="256">
        <v>0</v>
      </c>
      <c r="Y67" s="256">
        <v>0</v>
      </c>
      <c r="Z67" s="256">
        <v>0</v>
      </c>
      <c r="AA67" s="256">
        <v>0</v>
      </c>
      <c r="AB67" s="256">
        <v>0</v>
      </c>
      <c r="AC67" s="256">
        <v>0</v>
      </c>
      <c r="AD67" s="256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5</v>
      </c>
      <c r="G68" s="256">
        <v>5</v>
      </c>
      <c r="H68" s="256">
        <v>5</v>
      </c>
      <c r="I68" s="256">
        <v>5</v>
      </c>
      <c r="J68" s="256">
        <v>5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5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6">
        <v>0</v>
      </c>
      <c r="R70" s="256">
        <v>0</v>
      </c>
      <c r="S70" s="256">
        <v>0</v>
      </c>
      <c r="T70" s="256">
        <v>0</v>
      </c>
      <c r="U70" s="256">
        <v>0</v>
      </c>
      <c r="V70" s="256">
        <v>0</v>
      </c>
      <c r="W70" s="256">
        <v>0</v>
      </c>
      <c r="X70" s="256">
        <v>0</v>
      </c>
      <c r="Y70" s="256">
        <v>0</v>
      </c>
      <c r="Z70" s="256">
        <v>0</v>
      </c>
      <c r="AA70" s="256">
        <v>0</v>
      </c>
      <c r="AB70" s="256">
        <v>0</v>
      </c>
      <c r="AC70" s="256">
        <v>0</v>
      </c>
      <c r="AD70" s="256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6">
        <v>0</v>
      </c>
      <c r="R71" s="256">
        <v>0</v>
      </c>
      <c r="S71" s="256">
        <v>0</v>
      </c>
      <c r="T71" s="256">
        <v>0</v>
      </c>
      <c r="U71" s="256">
        <v>0</v>
      </c>
      <c r="V71" s="256">
        <v>0</v>
      </c>
      <c r="W71" s="256">
        <v>0</v>
      </c>
      <c r="X71" s="256">
        <v>0</v>
      </c>
      <c r="Y71" s="256">
        <v>0</v>
      </c>
      <c r="Z71" s="256">
        <v>0</v>
      </c>
      <c r="AA71" s="256">
        <v>0</v>
      </c>
      <c r="AB71" s="256">
        <v>0</v>
      </c>
      <c r="AC71" s="256">
        <v>0</v>
      </c>
      <c r="AD71" s="256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24</v>
      </c>
      <c r="C72" s="241">
        <f t="shared" ref="C72:L72" si="8">SUMIF(C61:C71,"&gt;0")</f>
        <v>18</v>
      </c>
      <c r="D72" s="241">
        <f t="shared" si="8"/>
        <v>6.3</v>
      </c>
      <c r="E72" s="241">
        <f t="shared" si="8"/>
        <v>3.2</v>
      </c>
      <c r="F72" s="241">
        <f t="shared" si="8"/>
        <v>5</v>
      </c>
      <c r="G72" s="241">
        <f t="shared" si="8"/>
        <v>5</v>
      </c>
      <c r="H72" s="241">
        <f t="shared" si="8"/>
        <v>5</v>
      </c>
      <c r="I72" s="241">
        <f t="shared" si="8"/>
        <v>12</v>
      </c>
      <c r="J72" s="241">
        <f t="shared" si="8"/>
        <v>8.4</v>
      </c>
      <c r="K72" s="241">
        <f t="shared" si="8"/>
        <v>3.3</v>
      </c>
      <c r="L72" s="241">
        <f t="shared" si="8"/>
        <v>1.2</v>
      </c>
      <c r="M72" s="241">
        <f>SUMIF(M61:M71,"&gt;0")</f>
        <v>1.2</v>
      </c>
      <c r="N72" s="241">
        <f t="shared" ref="N72:AF72" si="9">SUMIF(N61:N71,"&gt;0")</f>
        <v>2.4</v>
      </c>
      <c r="O72" s="241">
        <f t="shared" si="9"/>
        <v>17.5</v>
      </c>
      <c r="P72" s="241">
        <f t="shared" si="9"/>
        <v>10.4</v>
      </c>
      <c r="Q72" s="241">
        <f t="shared" si="9"/>
        <v>0</v>
      </c>
      <c r="R72" s="241">
        <f t="shared" si="9"/>
        <v>0</v>
      </c>
      <c r="S72" s="241">
        <f t="shared" si="9"/>
        <v>17</v>
      </c>
      <c r="T72" s="241">
        <f t="shared" si="9"/>
        <v>18</v>
      </c>
      <c r="U72" s="241">
        <f t="shared" si="9"/>
        <v>15.5</v>
      </c>
      <c r="V72" s="241">
        <f t="shared" si="9"/>
        <v>10.3</v>
      </c>
      <c r="W72" s="241">
        <f t="shared" si="9"/>
        <v>12</v>
      </c>
      <c r="X72" s="241">
        <f t="shared" si="9"/>
        <v>46.2</v>
      </c>
      <c r="Y72" s="241">
        <f t="shared" si="9"/>
        <v>47.7</v>
      </c>
      <c r="Z72" s="241">
        <f t="shared" si="9"/>
        <v>78</v>
      </c>
      <c r="AA72" s="241">
        <f t="shared" si="9"/>
        <v>87.4</v>
      </c>
      <c r="AB72" s="241">
        <f t="shared" si="9"/>
        <v>90</v>
      </c>
      <c r="AC72" s="241">
        <f t="shared" si="9"/>
        <v>90</v>
      </c>
      <c r="AD72" s="241">
        <f t="shared" si="9"/>
        <v>76</v>
      </c>
      <c r="AE72" s="241">
        <f t="shared" si="9"/>
        <v>39</v>
      </c>
      <c r="AF72" s="241">
        <f t="shared" si="9"/>
        <v>0</v>
      </c>
      <c r="AG72" s="261">
        <f>SUM(AG61:AG71)</f>
        <v>0</v>
      </c>
      <c r="AH72" s="226">
        <f t="shared" si="2"/>
        <v>90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1728.14</v>
      </c>
      <c r="C77" s="263">
        <f t="shared" ref="C77:AF77" si="10">C38+C42+C60+C56+C72+C76</f>
        <v>1726.14</v>
      </c>
      <c r="D77" s="263">
        <f t="shared" si="10"/>
        <v>1709.44</v>
      </c>
      <c r="E77" s="263">
        <f t="shared" si="10"/>
        <v>1694.64</v>
      </c>
      <c r="F77" s="263">
        <f t="shared" si="10"/>
        <v>1677.44</v>
      </c>
      <c r="G77" s="263">
        <f t="shared" si="10"/>
        <v>1692.74</v>
      </c>
      <c r="H77" s="263">
        <f t="shared" si="10"/>
        <v>1678.34</v>
      </c>
      <c r="I77" s="263">
        <f t="shared" si="10"/>
        <v>1639.54</v>
      </c>
      <c r="J77" s="263">
        <f t="shared" si="10"/>
        <v>1680.64</v>
      </c>
      <c r="K77" s="263">
        <f t="shared" si="10"/>
        <v>1690.24</v>
      </c>
      <c r="L77" s="263">
        <f t="shared" si="10"/>
        <v>1691.84</v>
      </c>
      <c r="M77" s="263">
        <f t="shared" si="10"/>
        <v>1697.9399999999998</v>
      </c>
      <c r="N77" s="263">
        <f t="shared" si="10"/>
        <v>1701.04</v>
      </c>
      <c r="O77" s="263">
        <f t="shared" si="10"/>
        <v>1721.1399999999999</v>
      </c>
      <c r="P77" s="263">
        <f t="shared" si="10"/>
        <v>1743.6399999999999</v>
      </c>
      <c r="Q77" s="263">
        <f t="shared" si="10"/>
        <v>1722.34</v>
      </c>
      <c r="R77" s="263">
        <f t="shared" si="10"/>
        <v>1704.34</v>
      </c>
      <c r="S77" s="263">
        <f t="shared" si="10"/>
        <v>1720.34</v>
      </c>
      <c r="T77" s="263">
        <f t="shared" si="10"/>
        <v>1720.84</v>
      </c>
      <c r="U77" s="263">
        <f t="shared" si="10"/>
        <v>1719.6399999999999</v>
      </c>
      <c r="V77" s="263">
        <f t="shared" si="10"/>
        <v>1740.74</v>
      </c>
      <c r="W77" s="263">
        <f t="shared" si="10"/>
        <v>1740.4399999999998</v>
      </c>
      <c r="X77" s="263">
        <f t="shared" si="10"/>
        <v>1741.44</v>
      </c>
      <c r="Y77" s="263">
        <f t="shared" si="10"/>
        <v>1787.94</v>
      </c>
      <c r="Z77" s="263">
        <f t="shared" si="10"/>
        <v>1868.84</v>
      </c>
      <c r="AA77" s="263">
        <f t="shared" si="10"/>
        <v>1834.6399999999999</v>
      </c>
      <c r="AB77" s="263">
        <f t="shared" si="10"/>
        <v>1856.7399999999998</v>
      </c>
      <c r="AC77" s="263">
        <f t="shared" si="10"/>
        <v>1889.1399999999999</v>
      </c>
      <c r="AD77" s="263">
        <f t="shared" si="10"/>
        <v>1857.1399999999999</v>
      </c>
      <c r="AE77" s="263">
        <f t="shared" si="10"/>
        <v>1789.6399999999999</v>
      </c>
      <c r="AF77" s="263">
        <f t="shared" si="10"/>
        <v>1747.4399999999998</v>
      </c>
      <c r="AG77" s="242">
        <f>AG38+AG42+AG60+AG56+AG72+AG76</f>
        <v>1855.1900000000003</v>
      </c>
      <c r="AH77" s="226">
        <f t="shared" si="2"/>
        <v>1889.1399999999999</v>
      </c>
      <c r="AI77" s="227">
        <f t="shared" si="3"/>
        <v>1639.54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1728.14</v>
      </c>
      <c r="C79" s="263">
        <f t="shared" ref="C79:AF79" si="11">C77+C78</f>
        <v>1726.14</v>
      </c>
      <c r="D79" s="263">
        <f t="shared" si="11"/>
        <v>1709.44</v>
      </c>
      <c r="E79" s="263">
        <f t="shared" si="11"/>
        <v>1694.64</v>
      </c>
      <c r="F79" s="263">
        <f t="shared" si="11"/>
        <v>1677.44</v>
      </c>
      <c r="G79" s="263">
        <f t="shared" si="11"/>
        <v>1692.74</v>
      </c>
      <c r="H79" s="263">
        <f t="shared" si="11"/>
        <v>1678.34</v>
      </c>
      <c r="I79" s="263">
        <f t="shared" si="11"/>
        <v>1639.54</v>
      </c>
      <c r="J79" s="263">
        <f t="shared" si="11"/>
        <v>1680.64</v>
      </c>
      <c r="K79" s="263">
        <f t="shared" si="11"/>
        <v>1690.24</v>
      </c>
      <c r="L79" s="263">
        <f t="shared" si="11"/>
        <v>1691.84</v>
      </c>
      <c r="M79" s="263">
        <f t="shared" si="11"/>
        <v>1697.9399999999998</v>
      </c>
      <c r="N79" s="263">
        <f t="shared" si="11"/>
        <v>1701.04</v>
      </c>
      <c r="O79" s="263">
        <f t="shared" si="11"/>
        <v>1721.1399999999999</v>
      </c>
      <c r="P79" s="263">
        <f t="shared" si="11"/>
        <v>1743.6399999999999</v>
      </c>
      <c r="Q79" s="263">
        <f t="shared" si="11"/>
        <v>1722.34</v>
      </c>
      <c r="R79" s="263">
        <f t="shared" si="11"/>
        <v>1704.34</v>
      </c>
      <c r="S79" s="263">
        <f t="shared" si="11"/>
        <v>1720.34</v>
      </c>
      <c r="T79" s="263">
        <f t="shared" si="11"/>
        <v>1720.84</v>
      </c>
      <c r="U79" s="263">
        <f t="shared" si="11"/>
        <v>1719.6399999999999</v>
      </c>
      <c r="V79" s="263">
        <f t="shared" si="11"/>
        <v>1740.74</v>
      </c>
      <c r="W79" s="263">
        <f t="shared" si="11"/>
        <v>1740.4399999999998</v>
      </c>
      <c r="X79" s="263">
        <f t="shared" si="11"/>
        <v>1741.44</v>
      </c>
      <c r="Y79" s="263">
        <f t="shared" si="11"/>
        <v>1787.94</v>
      </c>
      <c r="Z79" s="263">
        <f t="shared" si="11"/>
        <v>1868.84</v>
      </c>
      <c r="AA79" s="263">
        <f t="shared" si="11"/>
        <v>1834.6399999999999</v>
      </c>
      <c r="AB79" s="263">
        <f t="shared" si="11"/>
        <v>1856.7399999999998</v>
      </c>
      <c r="AC79" s="263">
        <f t="shared" si="11"/>
        <v>1889.1399999999999</v>
      </c>
      <c r="AD79" s="263">
        <f t="shared" si="11"/>
        <v>1857.1399999999999</v>
      </c>
      <c r="AE79" s="263">
        <f t="shared" si="11"/>
        <v>1789.6399999999999</v>
      </c>
      <c r="AF79" s="263">
        <f t="shared" si="11"/>
        <v>1747.4399999999998</v>
      </c>
      <c r="AG79" s="261">
        <f>AG76+AG72+AG60+AG56+AG38+AG78</f>
        <v>1317.0900000000001</v>
      </c>
      <c r="AH79" s="226">
        <f t="shared" si="2"/>
        <v>1889.1399999999999</v>
      </c>
      <c r="AI79" s="227">
        <f t="shared" si="3"/>
        <v>1639.54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>B79-B87</f>
        <v>1359.2400000000002</v>
      </c>
      <c r="C80" s="263">
        <f t="shared" ref="C80:AF80" si="12">C79-C87</f>
        <v>1355.7400000000002</v>
      </c>
      <c r="D80" s="263">
        <f t="shared" si="12"/>
        <v>1329.3400000000001</v>
      </c>
      <c r="E80" s="263">
        <f t="shared" si="12"/>
        <v>1278.6400000000001</v>
      </c>
      <c r="F80" s="263">
        <f t="shared" si="12"/>
        <v>1275.94</v>
      </c>
      <c r="G80" s="263">
        <f t="shared" si="12"/>
        <v>1262.74</v>
      </c>
      <c r="H80" s="263">
        <f t="shared" si="12"/>
        <v>1258.3399999999999</v>
      </c>
      <c r="I80" s="263">
        <f t="shared" si="12"/>
        <v>1199.54</v>
      </c>
      <c r="J80" s="263">
        <f t="shared" si="12"/>
        <v>1280.6400000000001</v>
      </c>
      <c r="K80" s="263">
        <f t="shared" si="12"/>
        <v>1325.24</v>
      </c>
      <c r="L80" s="263">
        <f t="shared" si="12"/>
        <v>1311.84</v>
      </c>
      <c r="M80" s="263">
        <f t="shared" si="12"/>
        <v>1317.9399999999998</v>
      </c>
      <c r="N80" s="263">
        <f t="shared" si="12"/>
        <v>1343.04</v>
      </c>
      <c r="O80" s="263">
        <f t="shared" si="12"/>
        <v>1383.54</v>
      </c>
      <c r="P80" s="263">
        <f t="shared" si="12"/>
        <v>1364.84</v>
      </c>
      <c r="Q80" s="263">
        <f t="shared" si="12"/>
        <v>1352.34</v>
      </c>
      <c r="R80" s="263">
        <f t="shared" si="12"/>
        <v>1314.34</v>
      </c>
      <c r="S80" s="263">
        <f t="shared" si="12"/>
        <v>1351.34</v>
      </c>
      <c r="T80" s="263">
        <f t="shared" si="12"/>
        <v>1373.84</v>
      </c>
      <c r="U80" s="263">
        <f t="shared" si="12"/>
        <v>1372.6399999999999</v>
      </c>
      <c r="V80" s="263">
        <f t="shared" si="12"/>
        <v>1380.74</v>
      </c>
      <c r="W80" s="263">
        <f t="shared" si="12"/>
        <v>1395.4399999999998</v>
      </c>
      <c r="X80" s="263">
        <f t="shared" si="12"/>
        <v>1352.44</v>
      </c>
      <c r="Y80" s="263">
        <f t="shared" si="12"/>
        <v>1463.94</v>
      </c>
      <c r="Z80" s="263">
        <f t="shared" si="12"/>
        <v>1562.84</v>
      </c>
      <c r="AA80" s="263">
        <f t="shared" si="12"/>
        <v>1542.6399999999999</v>
      </c>
      <c r="AB80" s="263">
        <f t="shared" si="12"/>
        <v>1554.7399999999998</v>
      </c>
      <c r="AC80" s="263">
        <f t="shared" si="12"/>
        <v>1529.1399999999999</v>
      </c>
      <c r="AD80" s="263">
        <f t="shared" si="12"/>
        <v>1490.1399999999999</v>
      </c>
      <c r="AE80" s="263">
        <f t="shared" si="12"/>
        <v>1410.6399999999999</v>
      </c>
      <c r="AF80" s="263">
        <f t="shared" si="12"/>
        <v>1357.4399999999998</v>
      </c>
      <c r="AG80" s="261"/>
      <c r="AH80" s="226">
        <f t="shared" ref="AH80:AH97" si="13">MAX(B80:AF80)</f>
        <v>1562.84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368.9</v>
      </c>
      <c r="C84" s="256">
        <f t="shared" ref="C84:AF84" si="18">IF(C63&lt;0,C63*-1,0)</f>
        <v>370.4</v>
      </c>
      <c r="D84" s="256">
        <f t="shared" si="18"/>
        <v>380.1</v>
      </c>
      <c r="E84" s="256">
        <f t="shared" si="18"/>
        <v>416</v>
      </c>
      <c r="F84" s="256">
        <f t="shared" si="18"/>
        <v>400</v>
      </c>
      <c r="G84" s="256">
        <f t="shared" si="18"/>
        <v>430</v>
      </c>
      <c r="H84" s="256">
        <f t="shared" si="18"/>
        <v>420</v>
      </c>
      <c r="I84" s="256">
        <f t="shared" si="18"/>
        <v>440</v>
      </c>
      <c r="J84" s="256">
        <f t="shared" si="18"/>
        <v>400</v>
      </c>
      <c r="K84" s="256">
        <f t="shared" si="18"/>
        <v>365</v>
      </c>
      <c r="L84" s="256">
        <f t="shared" si="18"/>
        <v>380</v>
      </c>
      <c r="M84" s="256">
        <f t="shared" si="18"/>
        <v>380</v>
      </c>
      <c r="N84" s="256">
        <f t="shared" si="18"/>
        <v>358</v>
      </c>
      <c r="O84" s="256">
        <f t="shared" si="18"/>
        <v>337.6</v>
      </c>
      <c r="P84" s="256">
        <f t="shared" si="18"/>
        <v>378.8</v>
      </c>
      <c r="Q84" s="256">
        <f t="shared" si="18"/>
        <v>370</v>
      </c>
      <c r="R84" s="256">
        <f t="shared" si="18"/>
        <v>390</v>
      </c>
      <c r="S84" s="256">
        <f t="shared" si="18"/>
        <v>369</v>
      </c>
      <c r="T84" s="256">
        <f t="shared" si="18"/>
        <v>347</v>
      </c>
      <c r="U84" s="256">
        <f t="shared" si="18"/>
        <v>347</v>
      </c>
      <c r="V84" s="256">
        <f t="shared" si="18"/>
        <v>360</v>
      </c>
      <c r="W84" s="256">
        <f t="shared" si="18"/>
        <v>345</v>
      </c>
      <c r="X84" s="256">
        <f t="shared" si="18"/>
        <v>389</v>
      </c>
      <c r="Y84" s="256">
        <f t="shared" si="18"/>
        <v>324</v>
      </c>
      <c r="Z84" s="256">
        <f t="shared" si="18"/>
        <v>306</v>
      </c>
      <c r="AA84" s="256">
        <f t="shared" si="18"/>
        <v>292</v>
      </c>
      <c r="AB84" s="256">
        <f t="shared" si="18"/>
        <v>302</v>
      </c>
      <c r="AC84" s="256">
        <f t="shared" si="18"/>
        <v>360</v>
      </c>
      <c r="AD84" s="256">
        <f t="shared" si="18"/>
        <v>367</v>
      </c>
      <c r="AE84" s="256">
        <f t="shared" si="18"/>
        <v>379</v>
      </c>
      <c r="AF84" s="256">
        <f t="shared" si="18"/>
        <v>390</v>
      </c>
      <c r="AG84" s="266"/>
      <c r="AH84" s="226">
        <f t="shared" si="13"/>
        <v>440</v>
      </c>
      <c r="AI84" s="227">
        <f t="shared" si="15"/>
        <v>292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1.5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1.5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368.9</v>
      </c>
      <c r="C87" s="241">
        <f t="shared" ref="C87:AF87" si="20">SUM(C81:C86)</f>
        <v>370.4</v>
      </c>
      <c r="D87" s="241">
        <f t="shared" si="20"/>
        <v>380.1</v>
      </c>
      <c r="E87" s="241">
        <f t="shared" si="20"/>
        <v>416</v>
      </c>
      <c r="F87" s="241">
        <f t="shared" si="20"/>
        <v>401.5</v>
      </c>
      <c r="G87" s="241">
        <f t="shared" si="20"/>
        <v>430</v>
      </c>
      <c r="H87" s="241">
        <f t="shared" si="20"/>
        <v>420</v>
      </c>
      <c r="I87" s="241">
        <f t="shared" si="20"/>
        <v>440</v>
      </c>
      <c r="J87" s="241">
        <f t="shared" si="20"/>
        <v>400</v>
      </c>
      <c r="K87" s="241">
        <f t="shared" si="20"/>
        <v>365</v>
      </c>
      <c r="L87" s="241">
        <f t="shared" si="20"/>
        <v>380</v>
      </c>
      <c r="M87" s="241">
        <f t="shared" si="20"/>
        <v>380</v>
      </c>
      <c r="N87" s="241">
        <f t="shared" si="20"/>
        <v>358</v>
      </c>
      <c r="O87" s="241">
        <f t="shared" si="20"/>
        <v>337.6</v>
      </c>
      <c r="P87" s="241">
        <f t="shared" si="20"/>
        <v>378.8</v>
      </c>
      <c r="Q87" s="241">
        <f t="shared" si="20"/>
        <v>370</v>
      </c>
      <c r="R87" s="241">
        <f t="shared" si="20"/>
        <v>390</v>
      </c>
      <c r="S87" s="241">
        <f t="shared" si="20"/>
        <v>369</v>
      </c>
      <c r="T87" s="241">
        <f t="shared" si="20"/>
        <v>347</v>
      </c>
      <c r="U87" s="241">
        <f t="shared" si="20"/>
        <v>347</v>
      </c>
      <c r="V87" s="241">
        <f t="shared" si="20"/>
        <v>360</v>
      </c>
      <c r="W87" s="241">
        <f t="shared" si="20"/>
        <v>345</v>
      </c>
      <c r="X87" s="241">
        <f t="shared" si="20"/>
        <v>389</v>
      </c>
      <c r="Y87" s="241">
        <f t="shared" si="20"/>
        <v>324</v>
      </c>
      <c r="Z87" s="241">
        <f t="shared" si="20"/>
        <v>306</v>
      </c>
      <c r="AA87" s="241">
        <f t="shared" si="20"/>
        <v>292</v>
      </c>
      <c r="AB87" s="241">
        <f t="shared" si="20"/>
        <v>302</v>
      </c>
      <c r="AC87" s="241">
        <f t="shared" si="20"/>
        <v>360</v>
      </c>
      <c r="AD87" s="241">
        <f t="shared" si="20"/>
        <v>367</v>
      </c>
      <c r="AE87" s="241">
        <f t="shared" si="20"/>
        <v>379</v>
      </c>
      <c r="AF87" s="241">
        <f t="shared" si="20"/>
        <v>390</v>
      </c>
      <c r="AG87" s="261"/>
      <c r="AH87" s="226">
        <f t="shared" si="13"/>
        <v>440</v>
      </c>
      <c r="AI87" s="227">
        <f t="shared" si="15"/>
        <v>292</v>
      </c>
      <c r="AK87" s="228"/>
    </row>
    <row r="88" spans="1:88" s="175" customFormat="1" ht="15.75" thickBot="1" x14ac:dyDescent="0.3">
      <c r="A88" s="254" t="s">
        <v>93</v>
      </c>
      <c r="B88" s="241">
        <f>B72-B87</f>
        <v>-344.9</v>
      </c>
      <c r="C88" s="241">
        <f t="shared" ref="C88:AF88" si="21">C72-C87</f>
        <v>-352.4</v>
      </c>
      <c r="D88" s="241">
        <f t="shared" si="21"/>
        <v>-373.8</v>
      </c>
      <c r="E88" s="241">
        <f t="shared" si="21"/>
        <v>-412.8</v>
      </c>
      <c r="F88" s="241">
        <f t="shared" si="21"/>
        <v>-396.5</v>
      </c>
      <c r="G88" s="241">
        <f t="shared" si="21"/>
        <v>-425</v>
      </c>
      <c r="H88" s="241">
        <f t="shared" si="21"/>
        <v>-415</v>
      </c>
      <c r="I88" s="241">
        <f t="shared" si="21"/>
        <v>-428</v>
      </c>
      <c r="J88" s="241">
        <f t="shared" si="21"/>
        <v>-391.6</v>
      </c>
      <c r="K88" s="241">
        <f t="shared" si="21"/>
        <v>-361.7</v>
      </c>
      <c r="L88" s="241">
        <f t="shared" si="21"/>
        <v>-378.8</v>
      </c>
      <c r="M88" s="241">
        <f t="shared" si="21"/>
        <v>-378.8</v>
      </c>
      <c r="N88" s="241">
        <f t="shared" si="21"/>
        <v>-355.6</v>
      </c>
      <c r="O88" s="241">
        <f t="shared" si="21"/>
        <v>-320.10000000000002</v>
      </c>
      <c r="P88" s="241">
        <f t="shared" si="21"/>
        <v>-368.40000000000003</v>
      </c>
      <c r="Q88" s="241">
        <f t="shared" si="21"/>
        <v>-370</v>
      </c>
      <c r="R88" s="241">
        <f t="shared" si="21"/>
        <v>-390</v>
      </c>
      <c r="S88" s="241">
        <f t="shared" si="21"/>
        <v>-352</v>
      </c>
      <c r="T88" s="241">
        <f t="shared" si="21"/>
        <v>-329</v>
      </c>
      <c r="U88" s="241">
        <f t="shared" si="21"/>
        <v>-331.5</v>
      </c>
      <c r="V88" s="241">
        <f t="shared" si="21"/>
        <v>-349.7</v>
      </c>
      <c r="W88" s="241">
        <f t="shared" si="21"/>
        <v>-333</v>
      </c>
      <c r="X88" s="241">
        <f t="shared" si="21"/>
        <v>-342.8</v>
      </c>
      <c r="Y88" s="241">
        <f t="shared" si="21"/>
        <v>-276.3</v>
      </c>
      <c r="Z88" s="241">
        <f t="shared" si="21"/>
        <v>-228</v>
      </c>
      <c r="AA88" s="241">
        <f t="shared" si="21"/>
        <v>-204.6</v>
      </c>
      <c r="AB88" s="241">
        <f t="shared" si="21"/>
        <v>-212</v>
      </c>
      <c r="AC88" s="241">
        <f t="shared" si="21"/>
        <v>-270</v>
      </c>
      <c r="AD88" s="241">
        <f t="shared" si="21"/>
        <v>-291</v>
      </c>
      <c r="AE88" s="241">
        <f t="shared" si="21"/>
        <v>-340</v>
      </c>
      <c r="AF88" s="241">
        <f t="shared" si="21"/>
        <v>-390</v>
      </c>
      <c r="AG88" s="261"/>
      <c r="AH88" s="226">
        <f t="shared" si="13"/>
        <v>-204.6</v>
      </c>
      <c r="AI88" s="227">
        <f t="shared" si="15"/>
        <v>-428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49.981000000000002</v>
      </c>
      <c r="C89" s="269">
        <v>50.02</v>
      </c>
      <c r="D89" s="269">
        <v>50.026000000000003</v>
      </c>
      <c r="E89" s="269">
        <v>50.03</v>
      </c>
      <c r="F89" s="269">
        <v>50</v>
      </c>
      <c r="G89" s="269">
        <v>50.005000000000003</v>
      </c>
      <c r="H89" s="269">
        <v>50.052999999999997</v>
      </c>
      <c r="I89" s="269">
        <v>49.982999999999997</v>
      </c>
      <c r="J89" s="269">
        <v>49.926000000000002</v>
      </c>
      <c r="K89" s="269">
        <v>50.012999999999998</v>
      </c>
      <c r="L89" s="269">
        <v>49.97</v>
      </c>
      <c r="M89" s="269">
        <v>50.048999999999999</v>
      </c>
      <c r="N89" s="269">
        <v>50.018999999999998</v>
      </c>
      <c r="O89" s="269">
        <v>50.018999999999998</v>
      </c>
      <c r="P89" s="269">
        <v>49.994999999999997</v>
      </c>
      <c r="Q89" s="269">
        <v>50.076000000000001</v>
      </c>
      <c r="R89" s="269">
        <v>50.024000000000001</v>
      </c>
      <c r="S89" s="269">
        <v>50.005000000000003</v>
      </c>
      <c r="T89" s="269">
        <v>50.026000000000003</v>
      </c>
      <c r="U89" s="269">
        <v>49.954000000000001</v>
      </c>
      <c r="V89" s="269">
        <v>49.981999999999999</v>
      </c>
      <c r="W89" s="269">
        <v>50.030999999999999</v>
      </c>
      <c r="X89" s="269">
        <v>50.033999999999999</v>
      </c>
      <c r="Y89" s="269">
        <v>49.97</v>
      </c>
      <c r="Z89" s="269">
        <v>49.823</v>
      </c>
      <c r="AA89" s="269">
        <v>49.91</v>
      </c>
      <c r="AB89" s="269">
        <v>49.98</v>
      </c>
      <c r="AC89" s="269">
        <v>50</v>
      </c>
      <c r="AD89" s="269">
        <v>50.02</v>
      </c>
      <c r="AE89" s="269">
        <v>50</v>
      </c>
      <c r="AF89" s="269">
        <v>50.02</v>
      </c>
      <c r="AG89" s="270"/>
      <c r="AH89" s="226">
        <f t="shared" si="13"/>
        <v>50.076000000000001</v>
      </c>
      <c r="AI89" s="227">
        <f t="shared" si="15"/>
        <v>49.823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123.1</v>
      </c>
      <c r="C90" s="245">
        <v>123.9</v>
      </c>
      <c r="D90" s="245">
        <v>124.1</v>
      </c>
      <c r="E90" s="245">
        <v>124.7</v>
      </c>
      <c r="F90" s="245">
        <v>124.9</v>
      </c>
      <c r="G90" s="245">
        <v>124.8</v>
      </c>
      <c r="H90" s="245">
        <v>124.9</v>
      </c>
      <c r="I90" s="245">
        <v>126</v>
      </c>
      <c r="J90" s="245">
        <v>123.3</v>
      </c>
      <c r="K90" s="245">
        <v>124.9</v>
      </c>
      <c r="L90" s="245">
        <v>123.9</v>
      </c>
      <c r="M90" s="245">
        <v>124.6</v>
      </c>
      <c r="N90" s="245">
        <v>124</v>
      </c>
      <c r="O90" s="245">
        <v>124</v>
      </c>
      <c r="P90" s="245">
        <v>125</v>
      </c>
      <c r="Q90" s="245">
        <v>124.6</v>
      </c>
      <c r="R90" s="245">
        <v>124.6</v>
      </c>
      <c r="S90" s="245">
        <v>124.2</v>
      </c>
      <c r="T90" s="245">
        <v>123.4</v>
      </c>
      <c r="U90" s="245">
        <v>124.5</v>
      </c>
      <c r="V90" s="245">
        <v>124.3</v>
      </c>
      <c r="W90" s="245">
        <v>124.7</v>
      </c>
      <c r="X90" s="245">
        <v>125.8</v>
      </c>
      <c r="Y90" s="245">
        <v>125.2</v>
      </c>
      <c r="Z90" s="245">
        <v>127.5</v>
      </c>
      <c r="AA90" s="245">
        <v>126.2</v>
      </c>
      <c r="AB90" s="245">
        <v>126</v>
      </c>
      <c r="AC90" s="245">
        <v>126</v>
      </c>
      <c r="AD90" s="245">
        <v>124</v>
      </c>
      <c r="AE90" s="245">
        <v>124.5</v>
      </c>
      <c r="AF90" s="245">
        <v>124</v>
      </c>
      <c r="AG90" s="272"/>
      <c r="AH90" s="226">
        <f t="shared" si="13"/>
        <v>127.5</v>
      </c>
      <c r="AI90" s="227">
        <f t="shared" si="15"/>
        <v>123.1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</v>
      </c>
      <c r="C91" s="245">
        <v>128.30000000000001</v>
      </c>
      <c r="D91" s="245">
        <v>128.19999999999999</v>
      </c>
      <c r="E91" s="245">
        <v>128.69999999999999</v>
      </c>
      <c r="F91" s="245">
        <v>129.30000000000001</v>
      </c>
      <c r="G91" s="245">
        <v>128.9</v>
      </c>
      <c r="H91" s="245">
        <v>128.80000000000001</v>
      </c>
      <c r="I91" s="245">
        <v>129.4</v>
      </c>
      <c r="J91" s="245">
        <v>126.6</v>
      </c>
      <c r="K91" s="245">
        <v>127.9</v>
      </c>
      <c r="L91" s="245">
        <v>126.8</v>
      </c>
      <c r="M91" s="245">
        <v>127.3</v>
      </c>
      <c r="N91" s="245">
        <v>127.3</v>
      </c>
      <c r="O91" s="245">
        <v>127.3</v>
      </c>
      <c r="P91" s="245">
        <v>127.7</v>
      </c>
      <c r="Q91" s="245">
        <v>127.5</v>
      </c>
      <c r="R91" s="245">
        <v>127.5</v>
      </c>
      <c r="S91" s="245">
        <v>127.4</v>
      </c>
      <c r="T91" s="245">
        <v>126.7</v>
      </c>
      <c r="U91" s="245">
        <v>127.5</v>
      </c>
      <c r="V91" s="245">
        <v>127.6</v>
      </c>
      <c r="W91" s="245">
        <v>128.1</v>
      </c>
      <c r="X91" s="245">
        <v>129</v>
      </c>
      <c r="Y91" s="245">
        <v>128.30000000000001</v>
      </c>
      <c r="Z91" s="245">
        <v>131.1</v>
      </c>
      <c r="AA91" s="245">
        <v>130</v>
      </c>
      <c r="AB91" s="245">
        <v>129.6</v>
      </c>
      <c r="AC91" s="245">
        <v>129.6</v>
      </c>
      <c r="AD91" s="245">
        <v>127</v>
      </c>
      <c r="AE91" s="245">
        <v>128.5</v>
      </c>
      <c r="AF91" s="245">
        <v>128.5</v>
      </c>
      <c r="AG91" s="272"/>
      <c r="AH91" s="226">
        <f t="shared" si="13"/>
        <v>131.1</v>
      </c>
      <c r="AI91" s="227">
        <f t="shared" si="15"/>
        <v>126.6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129.69999999999999</v>
      </c>
      <c r="C92" s="245">
        <v>131.6</v>
      </c>
      <c r="D92" s="245">
        <v>129.69999999999999</v>
      </c>
      <c r="E92" s="245">
        <v>130</v>
      </c>
      <c r="F92" s="245">
        <v>128.80000000000001</v>
      </c>
      <c r="G92" s="245">
        <v>132.30000000000001</v>
      </c>
      <c r="H92" s="245">
        <v>132.19999999999999</v>
      </c>
      <c r="I92" s="245">
        <v>133.1</v>
      </c>
      <c r="J92" s="245">
        <v>128.6</v>
      </c>
      <c r="K92" s="245">
        <v>130.69999999999999</v>
      </c>
      <c r="L92" s="245">
        <v>128.1</v>
      </c>
      <c r="M92" s="245">
        <v>130.1</v>
      </c>
      <c r="N92" s="245">
        <v>127.9</v>
      </c>
      <c r="O92" s="245">
        <v>127.9</v>
      </c>
      <c r="P92" s="245">
        <v>130.6</v>
      </c>
      <c r="Q92" s="245">
        <v>130.69999999999999</v>
      </c>
      <c r="R92" s="245">
        <v>130.69999999999999</v>
      </c>
      <c r="S92" s="245">
        <v>128.19999999999999</v>
      </c>
      <c r="T92" s="245">
        <v>128.1</v>
      </c>
      <c r="U92" s="245">
        <v>132.6</v>
      </c>
      <c r="V92" s="245">
        <v>131.5</v>
      </c>
      <c r="W92" s="245">
        <v>131.19999999999999</v>
      </c>
      <c r="X92" s="245">
        <v>130.80000000000001</v>
      </c>
      <c r="Y92" s="245">
        <v>129</v>
      </c>
      <c r="Z92" s="245">
        <v>129.19999999999999</v>
      </c>
      <c r="AA92" s="245">
        <v>128.6</v>
      </c>
      <c r="AB92" s="245">
        <v>128</v>
      </c>
      <c r="AC92" s="245">
        <v>128</v>
      </c>
      <c r="AD92" s="245">
        <v>130</v>
      </c>
      <c r="AE92" s="245">
        <v>130</v>
      </c>
      <c r="AF92" s="245">
        <v>130</v>
      </c>
      <c r="AG92" s="272"/>
      <c r="AH92" s="226">
        <f t="shared" si="13"/>
        <v>133.1</v>
      </c>
      <c r="AI92" s="227">
        <f t="shared" si="15"/>
        <v>127.9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133.9</v>
      </c>
      <c r="C93" s="245">
        <v>135.4</v>
      </c>
      <c r="D93" s="245">
        <v>134</v>
      </c>
      <c r="E93" s="245">
        <v>134.5</v>
      </c>
      <c r="F93" s="245">
        <v>133.5</v>
      </c>
      <c r="G93" s="245">
        <v>136.6</v>
      </c>
      <c r="H93" s="245">
        <v>135.80000000000001</v>
      </c>
      <c r="I93" s="245">
        <v>136.4</v>
      </c>
      <c r="J93" s="245">
        <v>131</v>
      </c>
      <c r="K93" s="245">
        <v>133.30000000000001</v>
      </c>
      <c r="L93" s="245">
        <v>130.69999999999999</v>
      </c>
      <c r="M93" s="245">
        <v>130.30000000000001</v>
      </c>
      <c r="N93" s="245">
        <v>131.5</v>
      </c>
      <c r="O93" s="245">
        <v>131.5</v>
      </c>
      <c r="P93" s="245">
        <v>132.4</v>
      </c>
      <c r="Q93" s="245">
        <v>134</v>
      </c>
      <c r="R93" s="245">
        <v>134</v>
      </c>
      <c r="S93" s="245">
        <v>132.6</v>
      </c>
      <c r="T93" s="245">
        <v>132.19999999999999</v>
      </c>
      <c r="U93" s="245">
        <v>136</v>
      </c>
      <c r="V93" s="245">
        <v>135.19999999999999</v>
      </c>
      <c r="W93" s="245">
        <v>133.30000000000001</v>
      </c>
      <c r="X93" s="245">
        <v>132.69999999999999</v>
      </c>
      <c r="Y93" s="245">
        <v>131.1</v>
      </c>
      <c r="Z93" s="245">
        <v>131.19999999999999</v>
      </c>
      <c r="AA93" s="245">
        <v>131</v>
      </c>
      <c r="AB93" s="245">
        <v>131</v>
      </c>
      <c r="AC93" s="245">
        <v>131</v>
      </c>
      <c r="AD93" s="245">
        <v>132</v>
      </c>
      <c r="AE93" s="245">
        <v>133</v>
      </c>
      <c r="AF93" s="245">
        <v>133</v>
      </c>
      <c r="AG93" s="272"/>
      <c r="AH93" s="226">
        <f t="shared" si="13"/>
        <v>136.6</v>
      </c>
      <c r="AI93" s="227">
        <f t="shared" si="15"/>
        <v>130.30000000000001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133.80000000000001</v>
      </c>
      <c r="C94" s="274">
        <v>132</v>
      </c>
      <c r="D94" s="274">
        <v>132.30000000000001</v>
      </c>
      <c r="E94" s="274">
        <v>133.69999999999999</v>
      </c>
      <c r="F94" s="274">
        <v>135.19999999999999</v>
      </c>
      <c r="G94" s="274">
        <v>134.69999999999999</v>
      </c>
      <c r="H94" s="274">
        <v>132.4</v>
      </c>
      <c r="I94" s="274">
        <v>134.19999999999999</v>
      </c>
      <c r="J94" s="274">
        <v>130.30000000000001</v>
      </c>
      <c r="K94" s="274">
        <v>133.5</v>
      </c>
      <c r="L94" s="274">
        <v>134.69999999999999</v>
      </c>
      <c r="M94" s="274">
        <v>134</v>
      </c>
      <c r="N94" s="274">
        <v>129.30000000000001</v>
      </c>
      <c r="O94" s="274">
        <v>129.30000000000001</v>
      </c>
      <c r="P94" s="274">
        <v>128.80000000000001</v>
      </c>
      <c r="Q94" s="274">
        <v>133</v>
      </c>
      <c r="R94" s="274">
        <v>133</v>
      </c>
      <c r="S94" s="274">
        <v>135.4</v>
      </c>
      <c r="T94" s="274">
        <v>132.9</v>
      </c>
      <c r="U94" s="274">
        <v>131.1</v>
      </c>
      <c r="V94" s="274">
        <v>129.5</v>
      </c>
      <c r="W94" s="274">
        <v>132.80000000000001</v>
      </c>
      <c r="X94" s="274">
        <v>135.30000000000001</v>
      </c>
      <c r="Y94" s="274">
        <v>134.30000000000001</v>
      </c>
      <c r="Z94" s="274">
        <v>135</v>
      </c>
      <c r="AA94" s="274">
        <v>131.1</v>
      </c>
      <c r="AB94" s="274">
        <v>134.80000000000001</v>
      </c>
      <c r="AC94" s="274">
        <v>134.80000000000001</v>
      </c>
      <c r="AD94" s="274">
        <v>131</v>
      </c>
      <c r="AE94" s="274">
        <v>131</v>
      </c>
      <c r="AF94" s="274">
        <v>131</v>
      </c>
      <c r="AG94" s="275"/>
      <c r="AH94" s="226">
        <f t="shared" si="13"/>
        <v>135.4</v>
      </c>
      <c r="AI94" s="227">
        <f t="shared" si="15"/>
        <v>128.80000000000001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132</v>
      </c>
      <c r="C95" s="245">
        <v>127.4</v>
      </c>
      <c r="D95" s="245">
        <v>127.8</v>
      </c>
      <c r="E95" s="245">
        <v>129.1</v>
      </c>
      <c r="F95" s="245">
        <v>133.80000000000001</v>
      </c>
      <c r="G95" s="245">
        <v>134</v>
      </c>
      <c r="H95" s="245">
        <v>127.1</v>
      </c>
      <c r="I95" s="245">
        <v>130</v>
      </c>
      <c r="J95" s="245">
        <v>123.7</v>
      </c>
      <c r="K95" s="245">
        <v>127</v>
      </c>
      <c r="L95" s="245">
        <v>134</v>
      </c>
      <c r="M95" s="245">
        <v>132.69999999999999</v>
      </c>
      <c r="N95" s="245">
        <v>124.5</v>
      </c>
      <c r="O95" s="245">
        <v>124.5</v>
      </c>
      <c r="P95" s="245">
        <v>119.9</v>
      </c>
      <c r="Q95" s="245">
        <v>128.80000000000001</v>
      </c>
      <c r="R95" s="245">
        <v>128.80000000000001</v>
      </c>
      <c r="S95" s="245">
        <v>127.4</v>
      </c>
      <c r="T95" s="245">
        <v>125.7</v>
      </c>
      <c r="U95" s="245">
        <v>121.6</v>
      </c>
      <c r="V95" s="245">
        <v>119.1</v>
      </c>
      <c r="W95" s="245">
        <v>127.3</v>
      </c>
      <c r="X95" s="245">
        <v>131.1</v>
      </c>
      <c r="Y95" s="245">
        <v>131.69999999999999</v>
      </c>
      <c r="Z95" s="245">
        <v>132.30000000000001</v>
      </c>
      <c r="AA95" s="245">
        <v>130.30000000000001</v>
      </c>
      <c r="AB95" s="245">
        <v>130</v>
      </c>
      <c r="AC95" s="245">
        <v>130</v>
      </c>
      <c r="AD95" s="245">
        <v>131</v>
      </c>
      <c r="AE95" s="245">
        <v>131</v>
      </c>
      <c r="AF95" s="245">
        <v>126</v>
      </c>
      <c r="AG95" s="272"/>
      <c r="AH95" s="226">
        <f t="shared" si="13"/>
        <v>134</v>
      </c>
      <c r="AI95" s="227">
        <f t="shared" si="15"/>
        <v>119.1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64.900000000000006</v>
      </c>
      <c r="C96" s="276">
        <v>64.900000000000006</v>
      </c>
      <c r="D96" s="276">
        <v>65</v>
      </c>
      <c r="E96" s="276">
        <v>65.400000000000006</v>
      </c>
      <c r="F96" s="276">
        <v>65.5</v>
      </c>
      <c r="G96" s="276">
        <v>65.400000000000006</v>
      </c>
      <c r="H96" s="276">
        <v>65.3</v>
      </c>
      <c r="I96" s="276">
        <v>65.7</v>
      </c>
      <c r="J96" s="276">
        <v>63.9</v>
      </c>
      <c r="K96" s="276">
        <v>64.8</v>
      </c>
      <c r="L96" s="276">
        <v>64.7</v>
      </c>
      <c r="M96" s="276">
        <v>64.7</v>
      </c>
      <c r="N96" s="276">
        <v>64.400000000000006</v>
      </c>
      <c r="O96" s="276">
        <v>64.400000000000006</v>
      </c>
      <c r="P96" s="276">
        <v>64.3</v>
      </c>
      <c r="Q96" s="276">
        <v>64.2</v>
      </c>
      <c r="R96" s="276">
        <v>64.2</v>
      </c>
      <c r="S96" s="276">
        <v>64.099999999999994</v>
      </c>
      <c r="T96" s="276">
        <v>63.6</v>
      </c>
      <c r="U96" s="276">
        <v>64.2</v>
      </c>
      <c r="V96" s="276">
        <v>64.3</v>
      </c>
      <c r="W96" s="276">
        <v>64.7</v>
      </c>
      <c r="X96" s="276">
        <v>64.900000000000006</v>
      </c>
      <c r="Y96" s="276">
        <v>64.8</v>
      </c>
      <c r="Z96" s="276">
        <v>66</v>
      </c>
      <c r="AA96" s="276">
        <v>65.7</v>
      </c>
      <c r="AB96" s="276">
        <v>65.599999999999994</v>
      </c>
      <c r="AC96" s="276">
        <v>65.599999999999994</v>
      </c>
      <c r="AD96" s="276">
        <v>64.3</v>
      </c>
      <c r="AE96" s="276">
        <v>64.3</v>
      </c>
      <c r="AF96" s="276">
        <v>64.900000000000006</v>
      </c>
      <c r="AG96" s="277"/>
      <c r="AH96" s="226">
        <f t="shared" si="13"/>
        <v>66</v>
      </c>
      <c r="AI96" s="227">
        <f t="shared" si="15"/>
        <v>63.6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>SUM(B15,B18,B21:B22,B46,B48:B49,B51,B53,B99:B102,B124,B130,B136,B145,B147,B159,B166,B169:B170,B177,B179,B181,B185:B187,B189:B191,B196,B202:B203,B205:B207,B215,B220)</f>
        <v>41.000000000000014</v>
      </c>
      <c r="C98" s="280">
        <f t="shared" ref="C98:AF98" si="22">SUM(C15,C18,C21:C22,C46,C48:C49,C51,C53,C99:C102,C124,C130,C136,C145,C147,C159,C166,C169:C170,C177,C179,C181,C185:C187,C189:C191,C196,C202:C203,C205:C207,C215,C220)</f>
        <v>-33.159999999999982</v>
      </c>
      <c r="D98" s="280">
        <f t="shared" si="22"/>
        <v>24.840000000000014</v>
      </c>
      <c r="E98" s="280">
        <f t="shared" si="22"/>
        <v>13.939999999999996</v>
      </c>
      <c r="F98" s="280">
        <f t="shared" si="22"/>
        <v>25.44</v>
      </c>
      <c r="G98" s="280">
        <f t="shared" si="22"/>
        <v>36.74</v>
      </c>
      <c r="H98" s="280">
        <f t="shared" si="22"/>
        <v>58.240000000000009</v>
      </c>
      <c r="I98" s="280">
        <f t="shared" si="22"/>
        <v>80.739999999999995</v>
      </c>
      <c r="J98" s="280">
        <f t="shared" si="22"/>
        <v>119.83999999999999</v>
      </c>
      <c r="K98" s="280">
        <f t="shared" si="22"/>
        <v>169.94</v>
      </c>
      <c r="L98" s="280">
        <f t="shared" si="22"/>
        <v>183.64000000000001</v>
      </c>
      <c r="M98" s="280">
        <f t="shared" si="22"/>
        <v>240.14</v>
      </c>
      <c r="N98" s="280">
        <f t="shared" si="22"/>
        <v>222.84</v>
      </c>
      <c r="O98" s="280">
        <f t="shared" si="22"/>
        <v>227.84</v>
      </c>
      <c r="P98" s="280">
        <f t="shared" si="22"/>
        <v>207.34000000000003</v>
      </c>
      <c r="Q98" s="280">
        <f t="shared" si="22"/>
        <v>194.2</v>
      </c>
      <c r="R98" s="280">
        <f t="shared" si="22"/>
        <v>173</v>
      </c>
      <c r="S98" s="280">
        <f t="shared" si="22"/>
        <v>162</v>
      </c>
      <c r="T98" s="280">
        <f t="shared" si="22"/>
        <v>191.89999999999998</v>
      </c>
      <c r="U98" s="280">
        <f t="shared" si="22"/>
        <v>186.10000000000002</v>
      </c>
      <c r="V98" s="280">
        <f t="shared" si="22"/>
        <v>184.4</v>
      </c>
      <c r="W98" s="280">
        <f t="shared" si="22"/>
        <v>186.60000000000002</v>
      </c>
      <c r="X98" s="280">
        <f t="shared" si="22"/>
        <v>173.89999999999998</v>
      </c>
      <c r="Y98" s="280">
        <f t="shared" si="22"/>
        <v>219.19999999999996</v>
      </c>
      <c r="Z98" s="280">
        <f t="shared" si="22"/>
        <v>243.10000000000002</v>
      </c>
      <c r="AA98" s="280">
        <f t="shared" si="22"/>
        <v>218.59999999999997</v>
      </c>
      <c r="AB98" s="280">
        <f t="shared" si="22"/>
        <v>163.19999999999999</v>
      </c>
      <c r="AC98" s="280">
        <f t="shared" si="22"/>
        <v>98.199999999999989</v>
      </c>
      <c r="AD98" s="280">
        <f t="shared" si="22"/>
        <v>98.199999999999989</v>
      </c>
      <c r="AE98" s="280">
        <f t="shared" si="22"/>
        <v>66.199999999999989</v>
      </c>
      <c r="AF98" s="280">
        <f t="shared" si="22"/>
        <v>51.199999999999989</v>
      </c>
      <c r="AG98" s="281"/>
      <c r="AH98" s="226">
        <f>MAX(C98:AF98)</f>
        <v>243.10000000000002</v>
      </c>
      <c r="AI98" s="227">
        <f>MIN(C98:AF98)</f>
        <v>-33.159999999999982</v>
      </c>
    </row>
    <row r="99" spans="1:37" x14ac:dyDescent="0.25">
      <c r="A99" s="268" t="s">
        <v>103</v>
      </c>
      <c r="B99" s="282">
        <v>7.9</v>
      </c>
      <c r="C99" s="282">
        <v>6.4</v>
      </c>
      <c r="D99" s="282">
        <v>7.9</v>
      </c>
      <c r="E99" s="282">
        <v>6.1</v>
      </c>
      <c r="F99" s="282">
        <v>8</v>
      </c>
      <c r="G99" s="282">
        <v>8.9</v>
      </c>
      <c r="H99" s="282">
        <v>10.3</v>
      </c>
      <c r="I99" s="282">
        <v>7.6</v>
      </c>
      <c r="J99" s="282">
        <v>10.7</v>
      </c>
      <c r="K99" s="282">
        <v>16.100000000000001</v>
      </c>
      <c r="L99" s="282">
        <v>17.3</v>
      </c>
      <c r="M99" s="282">
        <v>19.5</v>
      </c>
      <c r="N99" s="282">
        <v>22.7</v>
      </c>
      <c r="O99" s="282">
        <v>22.7</v>
      </c>
      <c r="P99" s="282">
        <v>14.8</v>
      </c>
      <c r="Q99" s="282">
        <v>18.7</v>
      </c>
      <c r="R99" s="282">
        <v>17</v>
      </c>
      <c r="S99" s="282">
        <v>20.9</v>
      </c>
      <c r="T99" s="282">
        <v>17.2</v>
      </c>
      <c r="U99" s="282">
        <v>17.8</v>
      </c>
      <c r="V99" s="282">
        <v>18.5</v>
      </c>
      <c r="W99" s="282">
        <v>13.3</v>
      </c>
      <c r="X99" s="282">
        <v>25.1</v>
      </c>
      <c r="Y99" s="282">
        <v>19.600000000000001</v>
      </c>
      <c r="Z99" s="282">
        <v>20.8</v>
      </c>
      <c r="AA99" s="282">
        <v>22.5</v>
      </c>
      <c r="AB99" s="282">
        <v>15</v>
      </c>
      <c r="AC99" s="282">
        <v>20</v>
      </c>
      <c r="AD99" s="282">
        <v>36</v>
      </c>
      <c r="AE99" s="282">
        <v>24</v>
      </c>
      <c r="AF99" s="282">
        <v>12</v>
      </c>
      <c r="AG99" s="283">
        <v>75</v>
      </c>
      <c r="AH99" s="226">
        <f t="shared" ref="AH99:AH106" si="23">IF(ABS(MAX(C99:AF99))&gt;ABS(MIN(C99:AF99)),MAX(C99:AF99),MIN(C99:AF99))</f>
        <v>36</v>
      </c>
      <c r="AI99" s="284">
        <f t="shared" ref="AI99:AI106" si="24">INDEX($C$9:$AF$9,1,MATCH(AH99,C99:AF99,0))</f>
        <v>0.875</v>
      </c>
    </row>
    <row r="100" spans="1:37" x14ac:dyDescent="0.25">
      <c r="A100" s="271" t="s">
        <v>104</v>
      </c>
      <c r="B100" s="285">
        <v>-140.5</v>
      </c>
      <c r="C100" s="285">
        <v>-145.6</v>
      </c>
      <c r="D100" s="285">
        <v>-154.6</v>
      </c>
      <c r="E100" s="285">
        <v>-150</v>
      </c>
      <c r="F100" s="285">
        <v>-137</v>
      </c>
      <c r="G100" s="285">
        <v>-126</v>
      </c>
      <c r="H100" s="285">
        <v>-110</v>
      </c>
      <c r="I100" s="285">
        <v>-87</v>
      </c>
      <c r="J100" s="285">
        <v>-60</v>
      </c>
      <c r="K100" s="285">
        <v>-91</v>
      </c>
      <c r="L100" s="285">
        <v>-90</v>
      </c>
      <c r="M100" s="285">
        <v>-78</v>
      </c>
      <c r="N100" s="285">
        <v>-82</v>
      </c>
      <c r="O100" s="285">
        <v>-82</v>
      </c>
      <c r="P100" s="285">
        <v>-88</v>
      </c>
      <c r="Q100" s="285">
        <v>-91</v>
      </c>
      <c r="R100" s="285">
        <v>-92</v>
      </c>
      <c r="S100" s="285">
        <f>-50-54</f>
        <v>-104</v>
      </c>
      <c r="T100" s="285">
        <f>-44.5-48</f>
        <v>-92.5</v>
      </c>
      <c r="U100" s="285">
        <f>-43.8-48.9</f>
        <v>-92.699999999999989</v>
      </c>
      <c r="V100" s="285">
        <f>-43.6-49.6</f>
        <v>-93.2</v>
      </c>
      <c r="W100" s="285">
        <f>-42-47.4</f>
        <v>-89.4</v>
      </c>
      <c r="X100" s="285">
        <v>-92</v>
      </c>
      <c r="Y100" s="285">
        <f>-38.1-42.7</f>
        <v>-80.800000000000011</v>
      </c>
      <c r="Z100" s="285">
        <f>-12-22</f>
        <v>-34</v>
      </c>
      <c r="AA100" s="285">
        <f>-14.8-21</f>
        <v>-35.799999999999997</v>
      </c>
      <c r="AB100" s="285">
        <v>-118</v>
      </c>
      <c r="AC100" s="285">
        <v>-120</v>
      </c>
      <c r="AD100" s="285">
        <v>-125</v>
      </c>
      <c r="AE100" s="285">
        <v>-139</v>
      </c>
      <c r="AF100" s="285">
        <v>-140</v>
      </c>
      <c r="AG100" s="283">
        <v>240</v>
      </c>
      <c r="AH100" s="226">
        <f t="shared" si="23"/>
        <v>-154.6</v>
      </c>
      <c r="AI100" s="284">
        <f t="shared" si="24"/>
        <v>8.3333333333333301E-2</v>
      </c>
    </row>
    <row r="101" spans="1:37" x14ac:dyDescent="0.25">
      <c r="A101" s="271" t="s">
        <v>105</v>
      </c>
      <c r="B101" s="285">
        <v>-6.7</v>
      </c>
      <c r="C101" s="285">
        <v>-80.2</v>
      </c>
      <c r="D101" s="285">
        <v>-9.4</v>
      </c>
      <c r="E101" s="285">
        <v>-8.1</v>
      </c>
      <c r="F101" s="285">
        <v>-8.5</v>
      </c>
      <c r="G101" s="285">
        <v>-9.1</v>
      </c>
      <c r="H101" s="285">
        <v>-5</v>
      </c>
      <c r="I101" s="285">
        <v>-2.8</v>
      </c>
      <c r="J101" s="285">
        <v>6.2</v>
      </c>
      <c r="K101" s="285">
        <v>3.2</v>
      </c>
      <c r="L101" s="285">
        <v>5.2</v>
      </c>
      <c r="M101" s="285">
        <v>14</v>
      </c>
      <c r="N101" s="285">
        <v>11.3</v>
      </c>
      <c r="O101" s="285">
        <v>11.3</v>
      </c>
      <c r="P101" s="285">
        <v>20.399999999999999</v>
      </c>
      <c r="Q101" s="285">
        <v>10</v>
      </c>
      <c r="R101" s="285">
        <v>10</v>
      </c>
      <c r="S101" s="285">
        <v>7.8</v>
      </c>
      <c r="T101" s="285">
        <v>10.8</v>
      </c>
      <c r="U101" s="285">
        <v>22.7</v>
      </c>
      <c r="V101" s="285">
        <v>23.1</v>
      </c>
      <c r="W101" s="285">
        <v>16.3</v>
      </c>
      <c r="X101" s="285">
        <v>8.6</v>
      </c>
      <c r="Y101" s="285">
        <v>34.299999999999997</v>
      </c>
      <c r="Z101" s="285">
        <v>52.4</v>
      </c>
      <c r="AA101" s="285">
        <v>38.700000000000003</v>
      </c>
      <c r="AB101" s="285">
        <v>38</v>
      </c>
      <c r="AC101" s="285">
        <v>15</v>
      </c>
      <c r="AD101" s="285">
        <v>4</v>
      </c>
      <c r="AE101" s="285">
        <v>-2</v>
      </c>
      <c r="AF101" s="285">
        <v>-4</v>
      </c>
      <c r="AG101" s="283">
        <v>60</v>
      </c>
      <c r="AH101" s="226">
        <f t="shared" si="23"/>
        <v>-80.2</v>
      </c>
      <c r="AI101" s="284">
        <f t="shared" si="24"/>
        <v>4.1666666666666664E-2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63.7</v>
      </c>
      <c r="L102" s="287">
        <v>70.2</v>
      </c>
      <c r="M102" s="287">
        <v>85.7</v>
      </c>
      <c r="N102" s="287">
        <v>71.900000000000006</v>
      </c>
      <c r="O102" s="287">
        <v>71.900000000000006</v>
      </c>
      <c r="P102" s="287">
        <v>58.2</v>
      </c>
      <c r="Q102" s="287">
        <v>55.5</v>
      </c>
      <c r="R102" s="287">
        <v>47</v>
      </c>
      <c r="S102" s="287">
        <v>47.3</v>
      </c>
      <c r="T102" s="287">
        <v>66.400000000000006</v>
      </c>
      <c r="U102" s="287">
        <v>48.3</v>
      </c>
      <c r="V102" s="287">
        <v>46</v>
      </c>
      <c r="W102" s="287">
        <v>56.4</v>
      </c>
      <c r="X102" s="287">
        <v>49.2</v>
      </c>
      <c r="Y102" s="287">
        <v>63.1</v>
      </c>
      <c r="Z102" s="287">
        <v>20.9</v>
      </c>
      <c r="AA102" s="287">
        <v>10</v>
      </c>
      <c r="AB102" s="287">
        <v>45</v>
      </c>
      <c r="AC102" s="287">
        <v>0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85.7</v>
      </c>
      <c r="AI102" s="284">
        <f t="shared" si="24"/>
        <v>0.33333333333333331</v>
      </c>
    </row>
    <row r="103" spans="1:37" x14ac:dyDescent="0.25">
      <c r="A103" s="286" t="s">
        <v>107</v>
      </c>
      <c r="B103" s="287">
        <v>48.4</v>
      </c>
      <c r="C103" s="287">
        <v>45.7</v>
      </c>
      <c r="D103" s="287">
        <v>41.2</v>
      </c>
      <c r="E103" s="287">
        <v>36</v>
      </c>
      <c r="F103" s="287">
        <v>48</v>
      </c>
      <c r="G103" s="287">
        <v>52</v>
      </c>
      <c r="H103" s="287">
        <v>57</v>
      </c>
      <c r="I103" s="287">
        <v>66</v>
      </c>
      <c r="J103" s="287">
        <v>89</v>
      </c>
      <c r="K103" s="287">
        <v>62</v>
      </c>
      <c r="L103" s="287">
        <v>70.099999999999994</v>
      </c>
      <c r="M103" s="287">
        <v>74</v>
      </c>
      <c r="N103" s="287">
        <v>59.2</v>
      </c>
      <c r="O103" s="287">
        <v>59.2</v>
      </c>
      <c r="P103" s="287">
        <v>50.6</v>
      </c>
      <c r="Q103" s="287">
        <v>52.6</v>
      </c>
      <c r="R103" s="287">
        <v>44.5</v>
      </c>
      <c r="S103" s="287">
        <v>47.8</v>
      </c>
      <c r="T103" s="287">
        <v>64.5</v>
      </c>
      <c r="U103" s="287">
        <v>50.4</v>
      </c>
      <c r="V103" s="287">
        <v>46</v>
      </c>
      <c r="W103" s="287">
        <v>54.7</v>
      </c>
      <c r="X103" s="287">
        <v>48</v>
      </c>
      <c r="Y103" s="287">
        <v>56.8</v>
      </c>
      <c r="Z103" s="287">
        <v>77</v>
      </c>
      <c r="AA103" s="287">
        <v>85</v>
      </c>
      <c r="AB103" s="287">
        <v>42</v>
      </c>
      <c r="AC103" s="287">
        <v>40</v>
      </c>
      <c r="AD103" s="287">
        <v>38</v>
      </c>
      <c r="AE103" s="287">
        <v>45</v>
      </c>
      <c r="AF103" s="287">
        <v>53</v>
      </c>
      <c r="AG103" s="288"/>
      <c r="AH103" s="226">
        <f t="shared" si="23"/>
        <v>89</v>
      </c>
      <c r="AI103" s="284">
        <f t="shared" si="24"/>
        <v>0.27083333333333331</v>
      </c>
    </row>
    <row r="104" spans="1:37" x14ac:dyDescent="0.25">
      <c r="A104" s="286" t="s">
        <v>108</v>
      </c>
      <c r="B104" s="287">
        <v>78.5</v>
      </c>
      <c r="C104" s="287">
        <v>77.2</v>
      </c>
      <c r="D104" s="287">
        <v>67.7</v>
      </c>
      <c r="E104" s="287">
        <v>57</v>
      </c>
      <c r="F104" s="287">
        <v>60</v>
      </c>
      <c r="G104" s="287">
        <v>63</v>
      </c>
      <c r="H104" s="287">
        <v>80</v>
      </c>
      <c r="I104" s="287">
        <v>75</v>
      </c>
      <c r="J104" s="287">
        <v>81</v>
      </c>
      <c r="K104" s="287">
        <v>82</v>
      </c>
      <c r="L104" s="287">
        <v>79</v>
      </c>
      <c r="M104" s="287">
        <v>71</v>
      </c>
      <c r="N104" s="287">
        <v>59.9</v>
      </c>
      <c r="O104" s="287">
        <v>59.9</v>
      </c>
      <c r="P104" s="287">
        <v>69.099999999999994</v>
      </c>
      <c r="Q104" s="287">
        <v>66.900000000000006</v>
      </c>
      <c r="R104" s="287">
        <v>63.8</v>
      </c>
      <c r="S104" s="287">
        <v>57</v>
      </c>
      <c r="T104" s="287">
        <v>60.5</v>
      </c>
      <c r="U104" s="287">
        <v>58</v>
      </c>
      <c r="V104" s="287">
        <v>60</v>
      </c>
      <c r="W104" s="287">
        <v>64.3</v>
      </c>
      <c r="X104" s="287">
        <v>47.5</v>
      </c>
      <c r="Y104" s="287">
        <v>50.5</v>
      </c>
      <c r="Z104" s="287">
        <v>50.2</v>
      </c>
      <c r="AA104" s="287">
        <v>46</v>
      </c>
      <c r="AB104" s="287">
        <v>56</v>
      </c>
      <c r="AC104" s="287">
        <v>40</v>
      </c>
      <c r="AD104" s="287">
        <v>10</v>
      </c>
      <c r="AE104" s="287">
        <v>34</v>
      </c>
      <c r="AF104" s="287">
        <v>56</v>
      </c>
      <c r="AG104" s="289"/>
      <c r="AH104" s="226">
        <f t="shared" si="23"/>
        <v>82</v>
      </c>
      <c r="AI104" s="284">
        <f t="shared" si="24"/>
        <v>0.29166666666666669</v>
      </c>
    </row>
    <row r="105" spans="1:37" x14ac:dyDescent="0.25">
      <c r="A105" s="290" t="s">
        <v>109</v>
      </c>
      <c r="B105" s="274">
        <v>109.7</v>
      </c>
      <c r="C105" s="274">
        <v>111</v>
      </c>
      <c r="D105" s="274">
        <v>98.6</v>
      </c>
      <c r="E105" s="274">
        <v>110</v>
      </c>
      <c r="F105" s="274">
        <v>123</v>
      </c>
      <c r="G105" s="274">
        <v>96</v>
      </c>
      <c r="H105" s="274">
        <v>116</v>
      </c>
      <c r="I105" s="274">
        <v>120</v>
      </c>
      <c r="J105" s="274">
        <v>117</v>
      </c>
      <c r="K105" s="274">
        <v>100</v>
      </c>
      <c r="L105" s="274">
        <v>117</v>
      </c>
      <c r="M105" s="274">
        <v>56.3</v>
      </c>
      <c r="N105" s="274">
        <v>108.5</v>
      </c>
      <c r="O105" s="274">
        <v>108.5</v>
      </c>
      <c r="P105" s="274">
        <v>105.6</v>
      </c>
      <c r="Q105" s="274">
        <v>106.6</v>
      </c>
      <c r="R105" s="274">
        <v>110</v>
      </c>
      <c r="S105" s="274">
        <v>109</v>
      </c>
      <c r="T105" s="274">
        <v>112.3</v>
      </c>
      <c r="U105" s="274">
        <v>84.4</v>
      </c>
      <c r="V105" s="274">
        <v>102</v>
      </c>
      <c r="W105" s="274">
        <v>92.6</v>
      </c>
      <c r="X105" s="274">
        <v>103.6</v>
      </c>
      <c r="Y105" s="274">
        <v>100.6</v>
      </c>
      <c r="Z105" s="274">
        <v>99</v>
      </c>
      <c r="AA105" s="274">
        <v>101</v>
      </c>
      <c r="AB105" s="274">
        <v>104</v>
      </c>
      <c r="AC105" s="274">
        <v>106</v>
      </c>
      <c r="AD105" s="274">
        <v>110</v>
      </c>
      <c r="AE105" s="274">
        <v>113</v>
      </c>
      <c r="AF105" s="274">
        <v>118</v>
      </c>
      <c r="AG105" s="289"/>
      <c r="AH105" s="226">
        <f t="shared" si="23"/>
        <v>123</v>
      </c>
      <c r="AI105" s="284">
        <f t="shared" si="24"/>
        <v>0.16666666666666699</v>
      </c>
    </row>
    <row r="106" spans="1:37" ht="15.75" thickBot="1" x14ac:dyDescent="0.3">
      <c r="A106" s="290" t="s">
        <v>110</v>
      </c>
      <c r="B106" s="274">
        <v>85.6</v>
      </c>
      <c r="C106" s="274">
        <v>87.2</v>
      </c>
      <c r="D106" s="274">
        <v>89.8</v>
      </c>
      <c r="E106" s="274">
        <v>93</v>
      </c>
      <c r="F106" s="274">
        <v>87</v>
      </c>
      <c r="G106" s="274">
        <v>79</v>
      </c>
      <c r="H106" s="274">
        <v>70</v>
      </c>
      <c r="I106" s="274">
        <v>51</v>
      </c>
      <c r="J106" s="274">
        <v>34</v>
      </c>
      <c r="K106" s="274">
        <v>55</v>
      </c>
      <c r="L106" s="274">
        <v>52.4</v>
      </c>
      <c r="M106" s="274">
        <v>47.8</v>
      </c>
      <c r="N106" s="274">
        <v>52.6</v>
      </c>
      <c r="O106" s="274">
        <v>52.6</v>
      </c>
      <c r="P106" s="274">
        <v>51.2</v>
      </c>
      <c r="Q106" s="274">
        <v>51.2</v>
      </c>
      <c r="R106" s="274">
        <v>52.8</v>
      </c>
      <c r="S106" s="274">
        <v>59.4</v>
      </c>
      <c r="T106" s="274">
        <v>48.2</v>
      </c>
      <c r="U106" s="274">
        <v>63.5</v>
      </c>
      <c r="V106" s="274">
        <v>63</v>
      </c>
      <c r="W106" s="274">
        <v>54.5</v>
      </c>
      <c r="X106" s="274">
        <v>57.8</v>
      </c>
      <c r="Y106" s="274">
        <v>55.2</v>
      </c>
      <c r="Z106" s="274">
        <v>43</v>
      </c>
      <c r="AA106" s="274">
        <v>35.799999999999997</v>
      </c>
      <c r="AB106" s="274">
        <v>74</v>
      </c>
      <c r="AC106" s="274">
        <v>80</v>
      </c>
      <c r="AD106" s="274">
        <v>88</v>
      </c>
      <c r="AE106" s="274">
        <v>82</v>
      </c>
      <c r="AF106" s="274">
        <v>83</v>
      </c>
      <c r="AG106" s="289"/>
      <c r="AH106" s="226">
        <f t="shared" si="23"/>
        <v>93</v>
      </c>
      <c r="AI106" s="284">
        <f t="shared" si="24"/>
        <v>0.125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1701.04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16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2079/02/16)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2079/02/16)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1728.14</v>
      </c>
      <c r="U235" s="343">
        <f t="shared" si="31"/>
        <v>1726.14</v>
      </c>
      <c r="V235" s="343">
        <f t="shared" si="31"/>
        <v>1709.44</v>
      </c>
      <c r="W235" s="343">
        <f t="shared" si="31"/>
        <v>1694.64</v>
      </c>
      <c r="X235" s="343">
        <f t="shared" si="31"/>
        <v>1677.44</v>
      </c>
      <c r="Y235" s="343">
        <f t="shared" si="31"/>
        <v>1692.74</v>
      </c>
      <c r="Z235" s="343">
        <f t="shared" si="31"/>
        <v>1678.34</v>
      </c>
      <c r="AA235" s="343">
        <f t="shared" si="31"/>
        <v>1639.54</v>
      </c>
      <c r="AB235" s="343">
        <f t="shared" si="31"/>
        <v>1680.64</v>
      </c>
      <c r="AC235" s="343">
        <f t="shared" si="31"/>
        <v>1690.24</v>
      </c>
      <c r="AD235" s="343">
        <f t="shared" si="31"/>
        <v>1691.84</v>
      </c>
      <c r="AE235" s="343">
        <f t="shared" si="31"/>
        <v>1697.9399999999998</v>
      </c>
      <c r="AF235" s="343">
        <f t="shared" si="31"/>
        <v>1701.04</v>
      </c>
      <c r="AG235" s="343">
        <f t="shared" si="31"/>
        <v>1721.1399999999999</v>
      </c>
      <c r="AH235" s="343">
        <f t="shared" si="31"/>
        <v>1743.6399999999999</v>
      </c>
      <c r="AI235" s="343">
        <f t="shared" si="31"/>
        <v>1722.34</v>
      </c>
      <c r="AJ235" s="343">
        <f t="shared" si="31"/>
        <v>1704.34</v>
      </c>
      <c r="AK235" s="343">
        <f t="shared" si="31"/>
        <v>1720.34</v>
      </c>
      <c r="AL235" s="343">
        <f t="shared" si="31"/>
        <v>1720.84</v>
      </c>
      <c r="AM235" s="343">
        <f t="shared" si="31"/>
        <v>1719.6399999999999</v>
      </c>
      <c r="AN235" s="343">
        <f t="shared" si="31"/>
        <v>1740.74</v>
      </c>
      <c r="AO235" s="343">
        <f t="shared" si="31"/>
        <v>1740.4399999999998</v>
      </c>
      <c r="AP235" s="343">
        <f t="shared" si="31"/>
        <v>1741.44</v>
      </c>
      <c r="AQ235" s="343">
        <f t="shared" si="31"/>
        <v>1787.94</v>
      </c>
      <c r="AR235" s="343">
        <f t="shared" si="31"/>
        <v>1868.84</v>
      </c>
      <c r="AS235" s="343">
        <f t="shared" si="31"/>
        <v>1834.6399999999999</v>
      </c>
      <c r="AT235" s="343">
        <f t="shared" si="31"/>
        <v>1856.7399999999998</v>
      </c>
      <c r="AU235" s="343">
        <f t="shared" si="31"/>
        <v>1889.1399999999999</v>
      </c>
      <c r="AV235" s="343">
        <f t="shared" si="31"/>
        <v>1857.1399999999999</v>
      </c>
      <c r="AW235" s="343">
        <f t="shared" si="31"/>
        <v>1789.6399999999999</v>
      </c>
      <c r="AX235" s="343">
        <f t="shared" si="31"/>
        <v>1747.4399999999998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4617" priority="232">
      <formula>B$9&gt;=20/24</formula>
    </cfRule>
    <cfRule type="expression" dxfId="4616" priority="233">
      <formula>AND(B$9&gt;=14/24,B$9&lt;20/24)</formula>
    </cfRule>
    <cfRule type="expression" dxfId="4615" priority="234">
      <formula>AND(B$9&gt;=8/24,B$9&lt;14/24)</formula>
    </cfRule>
    <cfRule type="expression" dxfId="4614" priority="235">
      <formula>B$9&lt;8/24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4613" priority="227">
      <formula>T$9&gt;=20/24</formula>
    </cfRule>
    <cfRule type="expression" dxfId="4612" priority="228">
      <formula>AND(T$9&gt;=14/24,T$9&lt;20/24)</formula>
    </cfRule>
    <cfRule type="expression" dxfId="4611" priority="229">
      <formula>AND(T$9&gt;=8/24,T$9&lt;14/24)</formula>
    </cfRule>
    <cfRule type="expression" dxfId="4610" priority="230">
      <formula>T$9&lt;8/24</formula>
    </cfRule>
  </conditionalFormatting>
  <conditionalFormatting sqref="AG55 Q11:Q15 B12:D16 E16:Q16 T37:AF37 R11:AF16 B35:AF35">
    <cfRule type="expression" dxfId="4609" priority="226">
      <formula>B11&gt;$AG11</formula>
    </cfRule>
  </conditionalFormatting>
  <conditionalFormatting sqref="A89:A102 A11:A14 A49:A76 A85:A87 A191:A221 A16:A30 A36:A47 A107:A178 A32:A33 A81:A83 A78:A79">
    <cfRule type="expression" dxfId="4608" priority="225">
      <formula>$AH11=0</formula>
    </cfRule>
  </conditionalFormatting>
  <conditionalFormatting sqref="A103">
    <cfRule type="expression" dxfId="4607" priority="224">
      <formula>$AH103=0</formula>
    </cfRule>
  </conditionalFormatting>
  <conditionalFormatting sqref="AL3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606" priority="222">
      <formula>$AH35=0</formula>
    </cfRule>
  </conditionalFormatting>
  <conditionalFormatting sqref="A88">
    <cfRule type="expression" dxfId="4605" priority="221">
      <formula>$AH88=0</formula>
    </cfRule>
  </conditionalFormatting>
  <conditionalFormatting sqref="A15">
    <cfRule type="expression" dxfId="4604" priority="220">
      <formula>$AH15=0</formula>
    </cfRule>
  </conditionalFormatting>
  <conditionalFormatting sqref="A185:A190">
    <cfRule type="expression" dxfId="4603" priority="219">
      <formula>$AH185=0</formula>
    </cfRule>
  </conditionalFormatting>
  <conditionalFormatting sqref="A179:A184">
    <cfRule type="expression" dxfId="4602" priority="218">
      <formula>$AH179=0</formula>
    </cfRule>
  </conditionalFormatting>
  <conditionalFormatting sqref="A48">
    <cfRule type="expression" dxfId="4601" priority="217">
      <formula>$AH48=0</formula>
    </cfRule>
  </conditionalFormatting>
  <conditionalFormatting sqref="A84">
    <cfRule type="expression" dxfId="4600" priority="216">
      <formula>$AH84=0</formula>
    </cfRule>
  </conditionalFormatting>
  <conditionalFormatting sqref="C89:AF89">
    <cfRule type="expression" dxfId="4599" priority="212">
      <formula>C$9&gt;=20/24</formula>
    </cfRule>
    <cfRule type="expression" dxfId="4598" priority="213">
      <formula>AND(C$9&gt;=14/24,C$9&lt;20/24)</formula>
    </cfRule>
    <cfRule type="expression" dxfId="4597" priority="214">
      <formula>AND(C$9&gt;=8/24,C$9&lt;14/24)</formula>
    </cfRule>
    <cfRule type="expression" dxfId="4596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95" priority="238">
      <formula>C$9&gt;=20/24</formula>
    </cfRule>
    <cfRule type="expression" dxfId="4594" priority="239">
      <formula>AND(C$9&gt;=14/24,C$9&lt;20/24)</formula>
    </cfRule>
    <cfRule type="expression" dxfId="4593" priority="240">
      <formula>AND(C$9&gt;=8/24,C$9&lt;14/24)</formula>
    </cfRule>
    <cfRule type="expression" dxfId="4592" priority="241">
      <formula>C$9&lt;8/24</formula>
    </cfRule>
  </conditionalFormatting>
  <conditionalFormatting sqref="A222">
    <cfRule type="expression" dxfId="4591" priority="242">
      <formula>$AH222=0</formula>
    </cfRule>
  </conditionalFormatting>
  <conditionalFormatting sqref="AG234">
    <cfRule type="expression" dxfId="4590" priority="243">
      <formula>B$9&gt;=20/24</formula>
    </cfRule>
    <cfRule type="expression" dxfId="4589" priority="244">
      <formula>AND(B$9&gt;=14/24,B$9&lt;20/24)</formula>
    </cfRule>
    <cfRule type="expression" dxfId="4588" priority="245">
      <formula>AND(B$9&gt;=8/24,B$9&lt;14/24)</formula>
    </cfRule>
    <cfRule type="expression" dxfId="4587" priority="246">
      <formula>B$9&lt;8/24</formula>
    </cfRule>
  </conditionalFormatting>
  <conditionalFormatting sqref="S8">
    <cfRule type="expression" dxfId="4586" priority="207">
      <formula>U$9&gt;=20/24</formula>
    </cfRule>
    <cfRule type="expression" dxfId="4585" priority="208">
      <formula>AND(U$9&gt;=14/24,U$9&lt;20/24)</formula>
    </cfRule>
    <cfRule type="expression" dxfId="4584" priority="209">
      <formula>AND(U$9&gt;=8/24,U$9&lt;14/24)</formula>
    </cfRule>
    <cfRule type="expression" dxfId="4583" priority="210">
      <formula>U$9&lt;8/24</formula>
    </cfRule>
  </conditionalFormatting>
  <conditionalFormatting sqref="AB8">
    <cfRule type="expression" dxfId="4582" priority="203">
      <formula>AD$9&gt;=20/24</formula>
    </cfRule>
    <cfRule type="expression" dxfId="4581" priority="204">
      <formula>AND(AD$9&gt;=14/24,AD$9&lt;20/24)</formula>
    </cfRule>
    <cfRule type="expression" dxfId="4580" priority="205">
      <formula>AND(AD$9&gt;=8/24,AD$9&lt;14/24)</formula>
    </cfRule>
    <cfRule type="expression" dxfId="4579" priority="206">
      <formula>AD$9&lt;8/24</formula>
    </cfRule>
  </conditionalFormatting>
  <conditionalFormatting sqref="AH234:AX234">
    <cfRule type="expression" dxfId="4578" priority="247">
      <formula>AG$9&gt;=20/24</formula>
    </cfRule>
    <cfRule type="expression" dxfId="4577" priority="248">
      <formula>AND(AG$9&gt;=14/24,AG$9&lt;20/24)</formula>
    </cfRule>
    <cfRule type="expression" dxfId="4576" priority="249">
      <formula>AND(AG$9&gt;=8/24,AG$9&lt;14/24)</formula>
    </cfRule>
    <cfRule type="expression" dxfId="4575" priority="250">
      <formula>AG$9&lt;8/24</formula>
    </cfRule>
  </conditionalFormatting>
  <conditionalFormatting sqref="T234">
    <cfRule type="expression" dxfId="4574" priority="251">
      <formula>AX$9&gt;=20/24</formula>
    </cfRule>
    <cfRule type="expression" dxfId="4573" priority="252">
      <formula>AND(AX$9&gt;=14/24,AX$9&lt;20/24)</formula>
    </cfRule>
    <cfRule type="expression" dxfId="4572" priority="253">
      <formula>AND(AX$9&gt;=8/24,AX$9&lt;14/24)</formula>
    </cfRule>
    <cfRule type="expression" dxfId="4571" priority="254">
      <formula>AX$9&lt;8/24</formula>
    </cfRule>
  </conditionalFormatting>
  <conditionalFormatting sqref="A104:A105">
    <cfRule type="expression" dxfId="4570" priority="202">
      <formula>$AH104=0</formula>
    </cfRule>
  </conditionalFormatting>
  <conditionalFormatting sqref="E11:P11 E44:P45 C61:AF61 AA36:AF36 AA44:AF45">
    <cfRule type="expression" dxfId="4569" priority="198">
      <formula>C$9&gt;=20/24</formula>
    </cfRule>
    <cfRule type="expression" dxfId="4568" priority="199">
      <formula>AND(C$9&gt;=14/24,C$9&lt;20/24)</formula>
    </cfRule>
    <cfRule type="expression" dxfId="4567" priority="200">
      <formula>AND(C$9&gt;=8/24,C$9&lt;14/24)</formula>
    </cfRule>
    <cfRule type="expression" dxfId="4566" priority="201">
      <formula>C$9&lt;8/24</formula>
    </cfRule>
  </conditionalFormatting>
  <conditionalFormatting sqref="E43:P43 AA43:AF43">
    <cfRule type="expression" dxfId="4565" priority="194">
      <formula>E$9&gt;=20/24</formula>
    </cfRule>
    <cfRule type="expression" dxfId="4564" priority="195">
      <formula>AND(E$9&gt;=14/24,E$9&lt;20/24)</formula>
    </cfRule>
    <cfRule type="expression" dxfId="4563" priority="196">
      <formula>AND(E$9&gt;=8/24,E$9&lt;14/24)</formula>
    </cfRule>
    <cfRule type="expression" dxfId="4562" priority="197">
      <formula>E$9&lt;8/24</formula>
    </cfRule>
  </conditionalFormatting>
  <conditionalFormatting sqref="E11:P11 E43:P45 AA36:AF36 AA43:AF45">
    <cfRule type="expression" dxfId="4561" priority="193">
      <formula>E11&gt;$AG11</formula>
    </cfRule>
  </conditionalFormatting>
  <conditionalFormatting sqref="Q11 C86:AF86 C62:L63 C76:AF76 E64:L67 M37:P37 M62:Q64 E71:O71 M65:O67 E36:P36 E12:Q14 P65:Q71 Q36:S37 R11:Z14 T36:Z36 E57:AF59 C90:AF96 AA16:AF16 AA18:AF22 AA24:AF26 AA28:AF32 AA12:AF14 R62:AF71 E73:AF75">
    <cfRule type="expression" dxfId="4560" priority="189">
      <formula>C$9&gt;=20/24</formula>
    </cfRule>
    <cfRule type="expression" dxfId="4559" priority="190">
      <formula>AND(C$9&gt;=14/24,C$9&lt;20/24)</formula>
    </cfRule>
    <cfRule type="expression" dxfId="4558" priority="191">
      <formula>AND(C$9&gt;=8/24,C$9&lt;14/24)</formula>
    </cfRule>
    <cfRule type="expression" dxfId="4557" priority="192">
      <formula>C$9&lt;8/24</formula>
    </cfRule>
  </conditionalFormatting>
  <conditionalFormatting sqref="AA33:AF33">
    <cfRule type="expression" dxfId="4556" priority="185">
      <formula>AA$9&gt;=20/24</formula>
    </cfRule>
    <cfRule type="expression" dxfId="4555" priority="186">
      <formula>AND(AA$9&gt;=14/24,AA$9&lt;20/24)</formula>
    </cfRule>
    <cfRule type="expression" dxfId="4554" priority="187">
      <formula>AND(AA$9&gt;=8/24,AA$9&lt;14/24)</formula>
    </cfRule>
    <cfRule type="expression" dxfId="4553" priority="188">
      <formula>AA$9&lt;8/24</formula>
    </cfRule>
  </conditionalFormatting>
  <conditionalFormatting sqref="C55:AF55 C37:P37 E36:P36 E12:P15 E46:P47 Q36:S37 Q11:Z11 T36:Z36 E57:AF59 AA18:AF22 AA24:AF33">
    <cfRule type="expression" dxfId="4552" priority="184">
      <formula>C11&gt;$AG11</formula>
    </cfRule>
  </conditionalFormatting>
  <conditionalFormatting sqref="AA35:AF35">
    <cfRule type="expression" dxfId="4551" priority="180">
      <formula>AA$9&gt;=20/24</formula>
    </cfRule>
    <cfRule type="expression" dxfId="4550" priority="181">
      <formula>AND(AA$9&gt;=14/24,AA$9&lt;20/24)</formula>
    </cfRule>
    <cfRule type="expression" dxfId="4549" priority="182">
      <formula>AND(AA$9&gt;=8/24,AA$9&lt;14/24)</formula>
    </cfRule>
    <cfRule type="expression" dxfId="4548" priority="183">
      <formula>AA$9&lt;8/24</formula>
    </cfRule>
  </conditionalFormatting>
  <conditionalFormatting sqref="E15:AF15">
    <cfRule type="expression" dxfId="4547" priority="176">
      <formula>E$9&gt;=20/24</formula>
    </cfRule>
    <cfRule type="expression" dxfId="4546" priority="177">
      <formula>AND(E$9&gt;=14/24,E$9&lt;20/24)</formula>
    </cfRule>
    <cfRule type="expression" dxfId="4545" priority="178">
      <formula>AND(E$9&gt;=8/24,E$9&lt;14/24)</formula>
    </cfRule>
    <cfRule type="expression" dxfId="4544" priority="179">
      <formula>E$9&lt;8/24</formula>
    </cfRule>
  </conditionalFormatting>
  <conditionalFormatting sqref="AA34:AF34">
    <cfRule type="expression" dxfId="4543" priority="172">
      <formula>AA$9&gt;=20/24</formula>
    </cfRule>
    <cfRule type="expression" dxfId="4542" priority="173">
      <formula>AND(AA$9&gt;=14/24,AA$9&lt;20/24)</formula>
    </cfRule>
    <cfRule type="expression" dxfId="4541" priority="174">
      <formula>AND(AA$9&gt;=8/24,AA$9&lt;14/24)</formula>
    </cfRule>
    <cfRule type="expression" dxfId="4540" priority="175">
      <formula>AA$9&lt;8/24</formula>
    </cfRule>
  </conditionalFormatting>
  <conditionalFormatting sqref="AA34:AF34">
    <cfRule type="expression" dxfId="4539" priority="171">
      <formula>AA34&gt;$AG34</formula>
    </cfRule>
  </conditionalFormatting>
  <conditionalFormatting sqref="X46:AF47">
    <cfRule type="expression" dxfId="4538" priority="163">
      <formula>X$9&gt;=20/24</formula>
    </cfRule>
    <cfRule type="expression" dxfId="4537" priority="164">
      <formula>AND(X$9&gt;=14/24,X$9&lt;20/24)</formula>
    </cfRule>
    <cfRule type="expression" dxfId="4536" priority="165">
      <formula>AND(X$9&gt;=8/24,X$9&lt;14/24)</formula>
    </cfRule>
    <cfRule type="expression" dxfId="4535" priority="166">
      <formula>X$9&lt;8/24</formula>
    </cfRule>
  </conditionalFormatting>
  <conditionalFormatting sqref="X46:AF47">
    <cfRule type="expression" dxfId="4534" priority="162">
      <formula>X46&gt;$AG46</formula>
    </cfRule>
  </conditionalFormatting>
  <conditionalFormatting sqref="Q43:W48 X48:Z48 T50:Z50 AA48:AF54">
    <cfRule type="expression" dxfId="4533" priority="158">
      <formula>Q$9&gt;=20/24</formula>
    </cfRule>
    <cfRule type="expression" dxfId="4532" priority="159">
      <formula>AND(Q$9&gt;=14/24,Q$9&lt;20/24)</formula>
    </cfRule>
    <cfRule type="expression" dxfId="4531" priority="160">
      <formula>AND(Q$9&gt;=8/24,Q$9&lt;14/24)</formula>
    </cfRule>
    <cfRule type="expression" dxfId="4530" priority="161">
      <formula>Q$9&lt;8/24</formula>
    </cfRule>
  </conditionalFormatting>
  <conditionalFormatting sqref="Q43:W48 X48:Z48 T50:Z50 AA48:AF54">
    <cfRule type="expression" dxfId="4529" priority="157">
      <formula>Q43&gt;$AG43</formula>
    </cfRule>
  </conditionalFormatting>
  <conditionalFormatting sqref="AA27:AF27">
    <cfRule type="expression" dxfId="4528" priority="153">
      <formula>AA$9&gt;=20/24</formula>
    </cfRule>
    <cfRule type="expression" dxfId="4527" priority="154">
      <formula>AND(AA$9&gt;=14/24,AA$9&lt;20/24)</formula>
    </cfRule>
    <cfRule type="expression" dxfId="4526" priority="155">
      <formula>AND(AA$9&gt;=8/24,AA$9&lt;14/24)</formula>
    </cfRule>
    <cfRule type="expression" dxfId="4525" priority="156">
      <formula>AA$9&lt;8/24</formula>
    </cfRule>
  </conditionalFormatting>
  <conditionalFormatting sqref="E16:Z32 AA23:AF23 AA17:AF17">
    <cfRule type="expression" dxfId="4524" priority="149">
      <formula>E$9&gt;=20/24</formula>
    </cfRule>
    <cfRule type="expression" dxfId="4523" priority="150">
      <formula>AND(E$9&gt;=14/24,E$9&lt;20/24)</formula>
    </cfRule>
    <cfRule type="expression" dxfId="4522" priority="151">
      <formula>AND(E$9&gt;=8/24,E$9&lt;14/24)</formula>
    </cfRule>
    <cfRule type="expression" dxfId="4521" priority="152">
      <formula>E$9&lt;8/24</formula>
    </cfRule>
  </conditionalFormatting>
  <conditionalFormatting sqref="E33:Z33">
    <cfRule type="expression" dxfId="4520" priority="145">
      <formula>E$9&gt;=20/24</formula>
    </cfRule>
    <cfRule type="expression" dxfId="4519" priority="146">
      <formula>AND(E$9&gt;=14/24,E$9&lt;20/24)</formula>
    </cfRule>
    <cfRule type="expression" dxfId="4518" priority="147">
      <formula>AND(E$9&gt;=8/24,E$9&lt;14/24)</formula>
    </cfRule>
    <cfRule type="expression" dxfId="4517" priority="148">
      <formula>E$9&lt;8/24</formula>
    </cfRule>
  </conditionalFormatting>
  <conditionalFormatting sqref="E17:Z33 AA23:AF23 AA17:AF17">
    <cfRule type="expression" dxfId="4516" priority="144">
      <formula>E17&gt;$AG17</formula>
    </cfRule>
  </conditionalFormatting>
  <conditionalFormatting sqref="E35:Z35">
    <cfRule type="expression" dxfId="4515" priority="140">
      <formula>E$9&gt;=20/24</formula>
    </cfRule>
    <cfRule type="expression" dxfId="4514" priority="141">
      <formula>AND(E$9&gt;=14/24,E$9&lt;20/24)</formula>
    </cfRule>
    <cfRule type="expression" dxfId="4513" priority="142">
      <formula>AND(E$9&gt;=8/24,E$9&lt;14/24)</formula>
    </cfRule>
    <cfRule type="expression" dxfId="4512" priority="143">
      <formula>E$9&lt;8/24</formula>
    </cfRule>
  </conditionalFormatting>
  <conditionalFormatting sqref="E34:Z34">
    <cfRule type="expression" dxfId="4511" priority="132">
      <formula>E$9&gt;=20/24</formula>
    </cfRule>
    <cfRule type="expression" dxfId="4510" priority="133">
      <formula>AND(E$9&gt;=14/24,E$9&lt;20/24)</formula>
    </cfRule>
    <cfRule type="expression" dxfId="4509" priority="134">
      <formula>AND(E$9&gt;=8/24,E$9&lt;14/24)</formula>
    </cfRule>
    <cfRule type="expression" dxfId="4508" priority="135">
      <formula>E$9&lt;8/24</formula>
    </cfRule>
  </conditionalFormatting>
  <conditionalFormatting sqref="E34:Z34">
    <cfRule type="expression" dxfId="4507" priority="131">
      <formula>E34&gt;$AG34</formula>
    </cfRule>
  </conditionalFormatting>
  <conditionalFormatting sqref="C44:D45">
    <cfRule type="expression" dxfId="4506" priority="127">
      <formula>C$9&gt;=20/24</formula>
    </cfRule>
    <cfRule type="expression" dxfId="4505" priority="128">
      <formula>AND(C$9&gt;=14/24,C$9&lt;20/24)</formula>
    </cfRule>
    <cfRule type="expression" dxfId="4504" priority="129">
      <formula>AND(C$9&gt;=8/24,C$9&lt;14/24)</formula>
    </cfRule>
    <cfRule type="expression" dxfId="4503" priority="130">
      <formula>C$9&lt;8/24</formula>
    </cfRule>
  </conditionalFormatting>
  <conditionalFormatting sqref="C43:D43">
    <cfRule type="expression" dxfId="4502" priority="123">
      <formula>C$9&gt;=20/24</formula>
    </cfRule>
    <cfRule type="expression" dxfId="4501" priority="124">
      <formula>AND(C$9&gt;=14/24,C$9&lt;20/24)</formula>
    </cfRule>
    <cfRule type="expression" dxfId="4500" priority="125">
      <formula>AND(C$9&gt;=8/24,C$9&lt;14/24)</formula>
    </cfRule>
    <cfRule type="expression" dxfId="4499" priority="126">
      <formula>C$9&lt;8/24</formula>
    </cfRule>
  </conditionalFormatting>
  <conditionalFormatting sqref="C43:D45">
    <cfRule type="expression" dxfId="4498" priority="122">
      <formula>C43&gt;$AG43</formula>
    </cfRule>
  </conditionalFormatting>
  <conditionalFormatting sqref="E68:O70">
    <cfRule type="expression" dxfId="4497" priority="118">
      <formula>E$9&gt;=20/24</formula>
    </cfRule>
    <cfRule type="expression" dxfId="4496" priority="119">
      <formula>AND(E$9&gt;=14/24,E$9&lt;20/24)</formula>
    </cfRule>
    <cfRule type="expression" dxfId="4495" priority="120">
      <formula>AND(E$9&gt;=8/24,E$9&lt;14/24)</formula>
    </cfRule>
    <cfRule type="expression" dxfId="4494" priority="121">
      <formula>E$9&lt;8/24</formula>
    </cfRule>
  </conditionalFormatting>
  <conditionalFormatting sqref="C46:D47">
    <cfRule type="expression" dxfId="4493" priority="117">
      <formula>C46&gt;$AG46</formula>
    </cfRule>
  </conditionalFormatting>
  <conditionalFormatting sqref="E48:P54 Q49:S54 T49:Z49 T51:Z54">
    <cfRule type="expression" dxfId="4492" priority="113">
      <formula>E$9&gt;=20/24</formula>
    </cfRule>
    <cfRule type="expression" dxfId="4491" priority="114">
      <formula>AND(E$9&gt;=14/24,E$9&lt;20/24)</formula>
    </cfRule>
    <cfRule type="expression" dxfId="4490" priority="115">
      <formula>AND(E$9&gt;=8/24,E$9&lt;14/24)</formula>
    </cfRule>
    <cfRule type="expression" dxfId="4489" priority="116">
      <formula>E$9&lt;8/24</formula>
    </cfRule>
  </conditionalFormatting>
  <conditionalFormatting sqref="E48:P54 Q49:S54 T49:Z49 T51:Z54">
    <cfRule type="expression" dxfId="4488" priority="112">
      <formula>E48&gt;$AG48</formula>
    </cfRule>
  </conditionalFormatting>
  <conditionalFormatting sqref="X44:Z45">
    <cfRule type="expression" dxfId="4487" priority="108">
      <formula>X$9&gt;=20/24</formula>
    </cfRule>
    <cfRule type="expression" dxfId="4486" priority="109">
      <formula>AND(X$9&gt;=14/24,X$9&lt;20/24)</formula>
    </cfRule>
    <cfRule type="expression" dxfId="4485" priority="110">
      <formula>AND(X$9&gt;=8/24,X$9&lt;14/24)</formula>
    </cfRule>
    <cfRule type="expression" dxfId="4484" priority="111">
      <formula>X$9&lt;8/24</formula>
    </cfRule>
  </conditionalFormatting>
  <conditionalFormatting sqref="X43:Z43">
    <cfRule type="expression" dxfId="4483" priority="104">
      <formula>X$9&gt;=20/24</formula>
    </cfRule>
    <cfRule type="expression" dxfId="4482" priority="105">
      <formula>AND(X$9&gt;=14/24,X$9&lt;20/24)</formula>
    </cfRule>
    <cfRule type="expression" dxfId="4481" priority="106">
      <formula>AND(X$9&gt;=8/24,X$9&lt;14/24)</formula>
    </cfRule>
    <cfRule type="expression" dxfId="4480" priority="107">
      <formula>X$9&lt;8/24</formula>
    </cfRule>
  </conditionalFormatting>
  <conditionalFormatting sqref="X43:Z45">
    <cfRule type="expression" dxfId="4479" priority="103">
      <formula>X43&gt;$AG43</formula>
    </cfRule>
  </conditionalFormatting>
  <conditionalFormatting sqref="B99:B105 B78:AF78 B87:AF87 B11:D11">
    <cfRule type="expression" dxfId="4478" priority="99">
      <formula>B$9&gt;=20/24</formula>
    </cfRule>
    <cfRule type="expression" dxfId="4477" priority="100">
      <formula>AND(B$9&gt;=14/24,B$9&lt;20/24)</formula>
    </cfRule>
    <cfRule type="expression" dxfId="4476" priority="101">
      <formula>AND(B$9&gt;=8/24,B$9&lt;14/24)</formula>
    </cfRule>
    <cfRule type="expression" dxfId="4475" priority="102">
      <formula>B$9&lt;8/24</formula>
    </cfRule>
  </conditionalFormatting>
  <conditionalFormatting sqref="B37">
    <cfRule type="expression" dxfId="4474" priority="95">
      <formula>B$9&gt;=20/24</formula>
    </cfRule>
    <cfRule type="expression" dxfId="4473" priority="96">
      <formula>AND(B$9&gt;=14/24,B$9&lt;20/24)</formula>
    </cfRule>
    <cfRule type="expression" dxfId="4472" priority="97">
      <formula>AND(B$9&gt;=8/24,B$9&lt;14/24)</formula>
    </cfRule>
    <cfRule type="expression" dxfId="4471" priority="98">
      <formula>B$9&lt;8/24</formula>
    </cfRule>
  </conditionalFormatting>
  <conditionalFormatting sqref="B37 B11:D11">
    <cfRule type="expression" dxfId="4470" priority="94">
      <formula>B11&gt;$AG11</formula>
    </cfRule>
  </conditionalFormatting>
  <conditionalFormatting sqref="B89">
    <cfRule type="expression" dxfId="4469" priority="90">
      <formula>B$9&gt;=20/24</formula>
    </cfRule>
    <cfRule type="expression" dxfId="4468" priority="91">
      <formula>AND(B$9&gt;=14/24,B$9&lt;20/24)</formula>
    </cfRule>
    <cfRule type="expression" dxfId="4467" priority="92">
      <formula>AND(B$9&gt;=8/24,B$9&lt;14/24)</formula>
    </cfRule>
    <cfRule type="expression" dxfId="4466" priority="93">
      <formula>B$9&lt;8/24</formula>
    </cfRule>
  </conditionalFormatting>
  <conditionalFormatting sqref="B44:B45 B61 B36:D36">
    <cfRule type="expression" dxfId="4465" priority="86">
      <formula>B$9&gt;=20/24</formula>
    </cfRule>
    <cfRule type="expression" dxfId="4464" priority="87">
      <formula>AND(B$9&gt;=14/24,B$9&lt;20/24)</formula>
    </cfRule>
    <cfRule type="expression" dxfId="4463" priority="88">
      <formula>AND(B$9&gt;=8/24,B$9&lt;14/24)</formula>
    </cfRule>
    <cfRule type="expression" dxfId="4462" priority="89">
      <formula>B$9&lt;8/24</formula>
    </cfRule>
  </conditionalFormatting>
  <conditionalFormatting sqref="B43">
    <cfRule type="expression" dxfId="4461" priority="82">
      <formula>B$9&gt;=20/24</formula>
    </cfRule>
    <cfRule type="expression" dxfId="4460" priority="83">
      <formula>AND(B$9&gt;=14/24,B$9&lt;20/24)</formula>
    </cfRule>
    <cfRule type="expression" dxfId="4459" priority="84">
      <formula>AND(B$9&gt;=8/24,B$9&lt;14/24)</formula>
    </cfRule>
    <cfRule type="expression" dxfId="4458" priority="85">
      <formula>B$9&lt;8/24</formula>
    </cfRule>
  </conditionalFormatting>
  <conditionalFormatting sqref="B43:B45 B36:D36">
    <cfRule type="expression" dxfId="4457" priority="81">
      <formula>B36&gt;$AG36</formula>
    </cfRule>
  </conditionalFormatting>
  <conditionalFormatting sqref="B90:B96 B57:B60 B62:B71 B73:B77 B79:AF79 B86 C60:AG60 C77:AG77 B88:AF88 B12:D14 B16:D16 B18:D22 B24:D26 B28:D32 C57:D59 C64:D71 C73:D75">
    <cfRule type="expression" dxfId="4456" priority="77">
      <formula>B$9&gt;=20/24</formula>
    </cfRule>
    <cfRule type="expression" dxfId="4455" priority="78">
      <formula>AND(B$9&gt;=14/24,B$9&lt;20/24)</formula>
    </cfRule>
    <cfRule type="expression" dxfId="4454" priority="79">
      <formula>AND(B$9&gt;=8/24,B$9&lt;14/24)</formula>
    </cfRule>
    <cfRule type="expression" dxfId="4453" priority="80">
      <formula>B$9&lt;8/24</formula>
    </cfRule>
  </conditionalFormatting>
  <conditionalFormatting sqref="B33:D33">
    <cfRule type="expression" dxfId="4452" priority="73">
      <formula>B$9&gt;=20/24</formula>
    </cfRule>
    <cfRule type="expression" dxfId="4451" priority="74">
      <formula>AND(B$9&gt;=14/24,B$9&lt;20/24)</formula>
    </cfRule>
    <cfRule type="expression" dxfId="4450" priority="75">
      <formula>AND(B$9&gt;=8/24,B$9&lt;14/24)</formula>
    </cfRule>
    <cfRule type="expression" dxfId="4449" priority="76">
      <formula>B$9&lt;8/24</formula>
    </cfRule>
  </conditionalFormatting>
  <conditionalFormatting sqref="B46:B47 B55:B60 B38:AG38 C56:AG56 C60:AG60 B18:D22 B24:D33 C57:D59">
    <cfRule type="expression" dxfId="4448" priority="72">
      <formula>B18&gt;$AG18</formula>
    </cfRule>
  </conditionalFormatting>
  <conditionalFormatting sqref="B35:D35">
    <cfRule type="expression" dxfId="4447" priority="68">
      <formula>B$9&gt;=20/24</formula>
    </cfRule>
    <cfRule type="expression" dxfId="4446" priority="69">
      <formula>AND(B$9&gt;=14/24,B$9&lt;20/24)</formula>
    </cfRule>
    <cfRule type="expression" dxfId="4445" priority="70">
      <formula>AND(B$9&gt;=8/24,B$9&lt;14/24)</formula>
    </cfRule>
    <cfRule type="expression" dxfId="4444" priority="71">
      <formula>B$9&lt;8/24</formula>
    </cfRule>
  </conditionalFormatting>
  <conditionalFormatting sqref="B15:D15">
    <cfRule type="expression" dxfId="4443" priority="64">
      <formula>B$9&gt;=20/24</formula>
    </cfRule>
    <cfRule type="expression" dxfId="4442" priority="65">
      <formula>AND(B$9&gt;=14/24,B$9&lt;20/24)</formula>
    </cfRule>
    <cfRule type="expression" dxfId="4441" priority="66">
      <formula>AND(B$9&gt;=8/24,B$9&lt;14/24)</formula>
    </cfRule>
    <cfRule type="expression" dxfId="4440" priority="67">
      <formula>B$9&lt;8/24</formula>
    </cfRule>
  </conditionalFormatting>
  <conditionalFormatting sqref="B34:D34">
    <cfRule type="expression" dxfId="4439" priority="60">
      <formula>B$9&gt;=20/24</formula>
    </cfRule>
    <cfRule type="expression" dxfId="4438" priority="61">
      <formula>AND(B$9&gt;=14/24,B$9&lt;20/24)</formula>
    </cfRule>
    <cfRule type="expression" dxfId="4437" priority="62">
      <formula>AND(B$9&gt;=8/24,B$9&lt;14/24)</formula>
    </cfRule>
    <cfRule type="expression" dxfId="4436" priority="63">
      <formula>B$9&lt;8/24</formula>
    </cfRule>
  </conditionalFormatting>
  <conditionalFormatting sqref="B34:D34">
    <cfRule type="expression" dxfId="4435" priority="59">
      <formula>B34&gt;$AG34</formula>
    </cfRule>
  </conditionalFormatting>
  <conditionalFormatting sqref="B48:D54">
    <cfRule type="expression" dxfId="4434" priority="55">
      <formula>B$9&gt;=20/24</formula>
    </cfRule>
    <cfRule type="expression" dxfId="4433" priority="56">
      <formula>AND(B$9&gt;=14/24,B$9&lt;20/24)</formula>
    </cfRule>
    <cfRule type="expression" dxfId="4432" priority="57">
      <formula>AND(B$9&gt;=8/24,B$9&lt;14/24)</formula>
    </cfRule>
    <cfRule type="expression" dxfId="4431" priority="58">
      <formula>B$9&lt;8/24</formula>
    </cfRule>
  </conditionalFormatting>
  <conditionalFormatting sqref="B48:D54">
    <cfRule type="expression" dxfId="4430" priority="54">
      <formula>B48&gt;$AG48</formula>
    </cfRule>
  </conditionalFormatting>
  <conditionalFormatting sqref="B27:D27">
    <cfRule type="expression" dxfId="4429" priority="50">
      <formula>B$9&gt;=20/24</formula>
    </cfRule>
    <cfRule type="expression" dxfId="4428" priority="51">
      <formula>AND(B$9&gt;=14/24,B$9&lt;20/24)</formula>
    </cfRule>
    <cfRule type="expression" dxfId="4427" priority="52">
      <formula>AND(B$9&gt;=8/24,B$9&lt;14/24)</formula>
    </cfRule>
    <cfRule type="expression" dxfId="4426" priority="53">
      <formula>B$9&lt;8/24</formula>
    </cfRule>
  </conditionalFormatting>
  <conditionalFormatting sqref="B17:D17 B23:D23">
    <cfRule type="expression" dxfId="4425" priority="46">
      <formula>B$9&gt;=20/24</formula>
    </cfRule>
    <cfRule type="expression" dxfId="4424" priority="47">
      <formula>AND(B$9&gt;=14/24,B$9&lt;20/24)</formula>
    </cfRule>
    <cfRule type="expression" dxfId="4423" priority="48">
      <formula>AND(B$9&gt;=8/24,B$9&lt;14/24)</formula>
    </cfRule>
    <cfRule type="expression" dxfId="4422" priority="49">
      <formula>B$9&lt;8/24</formula>
    </cfRule>
  </conditionalFormatting>
  <conditionalFormatting sqref="B17:D17 B23:D23">
    <cfRule type="expression" dxfId="4421" priority="45">
      <formula>B17&gt;$AG17</formula>
    </cfRule>
  </conditionalFormatting>
  <conditionalFormatting sqref="A34">
    <cfRule type="expression" dxfId="4420" priority="44">
      <formula>$AH34=0</formula>
    </cfRule>
  </conditionalFormatting>
  <conditionalFormatting sqref="B72:AF72">
    <cfRule type="expression" dxfId="4419" priority="40">
      <formula>B$9&gt;=20/24</formula>
    </cfRule>
    <cfRule type="expression" dxfId="4418" priority="41">
      <formula>AND(B$9&gt;=14/24,B$9&lt;20/24)</formula>
    </cfRule>
    <cfRule type="expression" dxfId="4417" priority="42">
      <formula>AND(B$9&gt;=8/24,B$9&lt;14/24)</formula>
    </cfRule>
    <cfRule type="expression" dxfId="4416" priority="43">
      <formula>B$9&lt;8/24</formula>
    </cfRule>
  </conditionalFormatting>
  <conditionalFormatting sqref="B81:AF85">
    <cfRule type="expression" dxfId="4415" priority="36">
      <formula>B$9&gt;=20/24</formula>
    </cfRule>
    <cfRule type="expression" dxfId="4414" priority="37">
      <formula>AND(B$9&gt;=14/24,B$9&lt;20/24)</formula>
    </cfRule>
    <cfRule type="expression" dxfId="4413" priority="38">
      <formula>AND(B$9&gt;=8/24,B$9&lt;14/24)</formula>
    </cfRule>
    <cfRule type="expression" dxfId="4412" priority="39">
      <formula>B$9&lt;8/24</formula>
    </cfRule>
  </conditionalFormatting>
  <conditionalFormatting sqref="AL35 AL7:AL30 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4411" priority="32">
      <formula>E$9&gt;=20/24</formula>
    </cfRule>
    <cfRule type="expression" dxfId="4410" priority="33">
      <formula>AND(E$9&gt;=14/24,E$9&lt;20/24)</formula>
    </cfRule>
    <cfRule type="expression" dxfId="4409" priority="34">
      <formula>AND(E$9&gt;=8/24,E$9&lt;14/24)</formula>
    </cfRule>
    <cfRule type="expression" dxfId="4408" priority="35">
      <formula>E$9&lt;8/24</formula>
    </cfRule>
  </conditionalFormatting>
  <conditionalFormatting sqref="E39:AF41">
    <cfRule type="expression" dxfId="4407" priority="31">
      <formula>E39&gt;$AG39</formula>
    </cfRule>
  </conditionalFormatting>
  <conditionalFormatting sqref="B39:B42 C42:AG42 C39:D41">
    <cfRule type="expression" dxfId="4406" priority="27">
      <formula>B$9&gt;=20/24</formula>
    </cfRule>
    <cfRule type="expression" dxfId="4405" priority="28">
      <formula>AND(B$9&gt;=14/24,B$9&lt;20/24)</formula>
    </cfRule>
    <cfRule type="expression" dxfId="4404" priority="29">
      <formula>AND(B$9&gt;=8/24,B$9&lt;14/24)</formula>
    </cfRule>
    <cfRule type="expression" dxfId="4403" priority="30">
      <formula>B$9&lt;8/24</formula>
    </cfRule>
  </conditionalFormatting>
  <conditionalFormatting sqref="B39:B42 C42:AG42 C39:D41">
    <cfRule type="expression" dxfId="4402" priority="26">
      <formula>B39&gt;$AG39</formula>
    </cfRule>
  </conditionalFormatting>
  <conditionalFormatting sqref="C97:AF97">
    <cfRule type="expression" dxfId="4401" priority="22">
      <formula>C$9&gt;=20/24</formula>
    </cfRule>
    <cfRule type="expression" dxfId="4400" priority="23">
      <formula>AND(C$9&gt;=14/24,C$9&lt;20/24)</formula>
    </cfRule>
    <cfRule type="expression" dxfId="4399" priority="24">
      <formula>AND(C$9&gt;=8/24,C$9&lt;14/24)</formula>
    </cfRule>
    <cfRule type="expression" dxfId="4398" priority="25">
      <formula>C$9&lt;8/24</formula>
    </cfRule>
  </conditionalFormatting>
  <conditionalFormatting sqref="B97">
    <cfRule type="expression" dxfId="4397" priority="18">
      <formula>B$9&gt;=20/24</formula>
    </cfRule>
    <cfRule type="expression" dxfId="4396" priority="19">
      <formula>AND(B$9&gt;=14/24,B$9&lt;20/24)</formula>
    </cfRule>
    <cfRule type="expression" dxfId="4395" priority="20">
      <formula>AND(B$9&gt;=8/24,B$9&lt;14/24)</formula>
    </cfRule>
    <cfRule type="expression" dxfId="4394" priority="21">
      <formula>B$9&lt;8/24</formula>
    </cfRule>
  </conditionalFormatting>
  <conditionalFormatting sqref="AL31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393" priority="12">
      <formula>$AH31=0</formula>
    </cfRule>
  </conditionalFormatting>
  <conditionalFormatting sqref="A80">
    <cfRule type="expression" dxfId="4392" priority="10">
      <formula>$AH80=0</formula>
    </cfRule>
  </conditionalFormatting>
  <conditionalFormatting sqref="A77">
    <cfRule type="expression" dxfId="4391" priority="11">
      <formula>$AH77=0</formula>
    </cfRule>
  </conditionalFormatting>
  <conditionalFormatting sqref="A106">
    <cfRule type="expression" dxfId="4390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BF03708D-A31D-4D10-B562-CB629941C3B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5F69E1F2-9FCC-457D-B26C-5E5652682FC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957A4076-504D-40A8-8677-1F8994CE860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AC326B6D-42D6-403F-A428-B66C25C7D53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EB7F7E9B-4B33-4988-8EE0-1682C4F3844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FF570417-26ED-4EFC-AE0C-DB56894395C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453CBE1C-A475-463C-AE17-88475CEBCEB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7F3B6DCA-392C-47E7-AD57-8A009E469B4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FEF53794-FFC8-4ED5-BE94-75DF7DFA049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17AD3CAA-98ED-4B91-9A00-0022D4F1EC3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A6BDA485-3759-4120-B1BB-F6CFBB75F57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B8D6E767-8EE0-4DDC-A295-ADA1D1C1132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CJ493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K64" sqref="K6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2079/02/17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10.7</v>
      </c>
      <c r="S5" s="205">
        <f t="shared" si="0"/>
        <v>4.5</v>
      </c>
      <c r="T5" s="205">
        <f t="shared" si="0"/>
        <v>18</v>
      </c>
      <c r="U5" s="205">
        <f t="shared" si="0"/>
        <v>17.399999999999999</v>
      </c>
      <c r="V5" s="205">
        <f t="shared" si="0"/>
        <v>17.399999999999999</v>
      </c>
      <c r="W5" s="205">
        <f t="shared" si="0"/>
        <v>0</v>
      </c>
      <c r="X5" s="205">
        <f t="shared" si="0"/>
        <v>0</v>
      </c>
      <c r="Y5" s="205">
        <f t="shared" si="0"/>
        <v>24.5</v>
      </c>
      <c r="Z5" s="205">
        <f t="shared" si="0"/>
        <v>22.3</v>
      </c>
      <c r="AA5" s="205">
        <f t="shared" si="0"/>
        <v>21.3</v>
      </c>
      <c r="AB5" s="205">
        <f t="shared" si="0"/>
        <v>21.5</v>
      </c>
      <c r="AC5" s="205">
        <f t="shared" si="0"/>
        <v>22.4</v>
      </c>
      <c r="AD5" s="205">
        <f t="shared" si="0"/>
        <v>20.5</v>
      </c>
      <c r="AE5" s="205">
        <f t="shared" si="0"/>
        <v>2.8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1737MW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Load=1626</v>
      </c>
      <c r="B7" s="210">
        <f>B79</f>
        <v>1732.4399999999998</v>
      </c>
      <c r="C7" s="210">
        <f t="shared" ref="C7:AF7" si="1">C79</f>
        <v>1718.24</v>
      </c>
      <c r="D7" s="210">
        <f t="shared" si="1"/>
        <v>1718.24</v>
      </c>
      <c r="E7" s="210">
        <f t="shared" si="1"/>
        <v>1671.3400000000001</v>
      </c>
      <c r="F7" s="210">
        <f t="shared" si="1"/>
        <v>1671.3400000000001</v>
      </c>
      <c r="G7" s="210">
        <f t="shared" si="1"/>
        <v>1674.3400000000001</v>
      </c>
      <c r="H7" s="210">
        <f t="shared" si="1"/>
        <v>1647.8000000000002</v>
      </c>
      <c r="I7" s="210">
        <f t="shared" si="1"/>
        <v>1647.3400000000001</v>
      </c>
      <c r="J7" s="210">
        <f t="shared" si="1"/>
        <v>1659.3400000000001</v>
      </c>
      <c r="K7" s="210">
        <f t="shared" si="1"/>
        <v>1708.3400000000001</v>
      </c>
      <c r="L7" s="210">
        <f t="shared" si="1"/>
        <v>1715.3400000000001</v>
      </c>
      <c r="M7" s="210">
        <f t="shared" si="1"/>
        <v>1737.24</v>
      </c>
      <c r="N7" s="210">
        <f t="shared" si="1"/>
        <v>1735.34</v>
      </c>
      <c r="O7" s="210">
        <f t="shared" si="1"/>
        <v>1710.24</v>
      </c>
      <c r="P7" s="210">
        <f t="shared" si="1"/>
        <v>1625.54</v>
      </c>
      <c r="Q7" s="210">
        <f t="shared" si="1"/>
        <v>1644.14</v>
      </c>
      <c r="R7" s="210">
        <f t="shared" si="1"/>
        <v>1649.54</v>
      </c>
      <c r="S7" s="210">
        <f t="shared" si="1"/>
        <v>1670.24</v>
      </c>
      <c r="T7" s="210">
        <f t="shared" si="1"/>
        <v>1787.74</v>
      </c>
      <c r="U7" s="210">
        <f t="shared" si="1"/>
        <v>1809.44</v>
      </c>
      <c r="V7" s="210">
        <f t="shared" si="1"/>
        <v>1765.3400000000001</v>
      </c>
      <c r="W7" s="210">
        <f t="shared" si="1"/>
        <v>1765.3400000000001</v>
      </c>
      <c r="X7" s="210">
        <f t="shared" si="1"/>
        <v>1782.74</v>
      </c>
      <c r="Y7" s="210">
        <f t="shared" si="1"/>
        <v>1795.94</v>
      </c>
      <c r="Z7" s="210">
        <f t="shared" si="1"/>
        <v>1900.44</v>
      </c>
      <c r="AA7" s="210">
        <f t="shared" si="1"/>
        <v>1872.24</v>
      </c>
      <c r="AB7" s="210">
        <f t="shared" si="1"/>
        <v>1858.74</v>
      </c>
      <c r="AC7" s="210">
        <f t="shared" si="1"/>
        <v>1882.44</v>
      </c>
      <c r="AD7" s="210">
        <f t="shared" si="1"/>
        <v>1818.44</v>
      </c>
      <c r="AE7" s="210">
        <f t="shared" si="1"/>
        <v>1772.54</v>
      </c>
      <c r="AF7" s="210">
        <f t="shared" si="1"/>
        <v>1712.34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53.7</v>
      </c>
      <c r="C11" s="221">
        <v>53.7</v>
      </c>
      <c r="D11" s="221">
        <v>53.7</v>
      </c>
      <c r="E11" s="221">
        <v>53.7</v>
      </c>
      <c r="F11" s="221">
        <v>53.7</v>
      </c>
      <c r="G11" s="221">
        <v>53.7</v>
      </c>
      <c r="H11" s="221">
        <v>53.7</v>
      </c>
      <c r="I11" s="221">
        <v>53.7</v>
      </c>
      <c r="J11" s="221">
        <v>53.7</v>
      </c>
      <c r="K11" s="221">
        <v>53.7</v>
      </c>
      <c r="L11" s="221">
        <v>53.7</v>
      </c>
      <c r="M11" s="221">
        <v>53.5</v>
      </c>
      <c r="N11" s="221">
        <v>53.5</v>
      </c>
      <c r="O11" s="221">
        <v>53.5</v>
      </c>
      <c r="P11" s="221">
        <v>53.5</v>
      </c>
      <c r="Q11" s="221">
        <v>53.5</v>
      </c>
      <c r="R11" s="221">
        <v>53.5</v>
      </c>
      <c r="S11" s="221">
        <v>53.5</v>
      </c>
      <c r="T11" s="221">
        <v>53.5</v>
      </c>
      <c r="U11" s="221">
        <v>53.5</v>
      </c>
      <c r="V11" s="221">
        <v>53.5</v>
      </c>
      <c r="W11" s="221">
        <v>53.5</v>
      </c>
      <c r="X11" s="221">
        <v>53.5</v>
      </c>
      <c r="Y11" s="221">
        <v>53.5</v>
      </c>
      <c r="Z11" s="221">
        <v>53.5</v>
      </c>
      <c r="AA11" s="224">
        <v>53.5</v>
      </c>
      <c r="AB11" s="224">
        <v>53.3</v>
      </c>
      <c r="AC11" s="224">
        <v>53.3</v>
      </c>
      <c r="AD11" s="224">
        <v>53.3</v>
      </c>
      <c r="AE11" s="224">
        <v>53.3</v>
      </c>
      <c r="AF11" s="224">
        <v>53.4</v>
      </c>
      <c r="AG11" s="225">
        <v>52.4</v>
      </c>
      <c r="AH11" s="226">
        <f>MAX(B11:AF11)</f>
        <v>53.7</v>
      </c>
      <c r="AI11" s="227">
        <f>MIN(B11:AF11)</f>
        <v>53.3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50.2</v>
      </c>
      <c r="C12" s="221">
        <v>50.2</v>
      </c>
      <c r="D12" s="221">
        <v>50.2</v>
      </c>
      <c r="E12" s="221">
        <v>50.2</v>
      </c>
      <c r="F12" s="221">
        <v>50.2</v>
      </c>
      <c r="G12" s="221">
        <v>50.2</v>
      </c>
      <c r="H12" s="221">
        <v>50.2</v>
      </c>
      <c r="I12" s="221">
        <v>50.2</v>
      </c>
      <c r="J12" s="221">
        <v>50.2</v>
      </c>
      <c r="K12" s="221">
        <v>50.2</v>
      </c>
      <c r="L12" s="221">
        <v>50.2</v>
      </c>
      <c r="M12" s="221">
        <v>50.1</v>
      </c>
      <c r="N12" s="221">
        <v>50.1</v>
      </c>
      <c r="O12" s="221">
        <v>25</v>
      </c>
      <c r="P12" s="221">
        <v>25</v>
      </c>
      <c r="Q12" s="221">
        <v>25</v>
      </c>
      <c r="R12" s="221">
        <v>25</v>
      </c>
      <c r="S12" s="221">
        <v>25</v>
      </c>
      <c r="T12" s="221">
        <v>50</v>
      </c>
      <c r="U12" s="221">
        <v>50</v>
      </c>
      <c r="V12" s="221">
        <v>50</v>
      </c>
      <c r="W12" s="221">
        <v>50</v>
      </c>
      <c r="X12" s="221">
        <v>50</v>
      </c>
      <c r="Y12" s="221">
        <v>50</v>
      </c>
      <c r="Z12" s="221">
        <v>50</v>
      </c>
      <c r="AA12" s="221">
        <v>50</v>
      </c>
      <c r="AB12" s="221">
        <v>50.7</v>
      </c>
      <c r="AC12" s="221">
        <v>50.7</v>
      </c>
      <c r="AD12" s="221">
        <v>50.7</v>
      </c>
      <c r="AE12" s="221">
        <v>50.4</v>
      </c>
      <c r="AF12" s="221">
        <v>50.2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25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46.1</v>
      </c>
      <c r="C13" s="221">
        <v>46.1</v>
      </c>
      <c r="D13" s="221">
        <v>46.1</v>
      </c>
      <c r="E13" s="221">
        <v>46.1</v>
      </c>
      <c r="F13" s="221">
        <v>46.1</v>
      </c>
      <c r="G13" s="221">
        <v>46.1</v>
      </c>
      <c r="H13" s="221">
        <v>46.1</v>
      </c>
      <c r="I13" s="221">
        <v>46.1</v>
      </c>
      <c r="J13" s="221">
        <v>46.1</v>
      </c>
      <c r="K13" s="221">
        <v>46.1</v>
      </c>
      <c r="L13" s="221">
        <v>46.1</v>
      </c>
      <c r="M13" s="221">
        <v>45.9</v>
      </c>
      <c r="N13" s="221">
        <v>46</v>
      </c>
      <c r="O13" s="221">
        <v>46</v>
      </c>
      <c r="P13" s="221">
        <v>46.2</v>
      </c>
      <c r="Q13" s="221">
        <v>46.2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46.2</v>
      </c>
      <c r="AF13" s="221">
        <v>46.2</v>
      </c>
      <c r="AG13" s="229">
        <v>45</v>
      </c>
      <c r="AH13" s="226">
        <f t="shared" si="2"/>
        <v>46.2</v>
      </c>
      <c r="AI13" s="227">
        <f t="shared" si="3"/>
        <v>45.9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27</v>
      </c>
      <c r="D14" s="221">
        <v>27</v>
      </c>
      <c r="E14" s="221">
        <v>27</v>
      </c>
      <c r="F14" s="221">
        <v>27</v>
      </c>
      <c r="G14" s="221">
        <v>27</v>
      </c>
      <c r="H14" s="221">
        <v>27</v>
      </c>
      <c r="I14" s="221">
        <v>27</v>
      </c>
      <c r="J14" s="221">
        <v>27</v>
      </c>
      <c r="K14" s="221">
        <v>27</v>
      </c>
      <c r="L14" s="221">
        <v>27</v>
      </c>
      <c r="M14" s="221">
        <v>27</v>
      </c>
      <c r="N14" s="221">
        <v>38</v>
      </c>
      <c r="O14" s="221">
        <v>38</v>
      </c>
      <c r="P14" s="221">
        <v>35</v>
      </c>
      <c r="Q14" s="221">
        <v>35</v>
      </c>
      <c r="R14" s="221">
        <v>35</v>
      </c>
      <c r="S14" s="221">
        <v>35</v>
      </c>
      <c r="T14" s="221">
        <v>35</v>
      </c>
      <c r="U14" s="221">
        <v>35</v>
      </c>
      <c r="V14" s="221">
        <v>35</v>
      </c>
      <c r="W14" s="221">
        <v>35</v>
      </c>
      <c r="X14" s="221">
        <v>41</v>
      </c>
      <c r="Y14" s="221">
        <v>41</v>
      </c>
      <c r="Z14" s="221">
        <v>41</v>
      </c>
      <c r="AA14" s="221">
        <v>39</v>
      </c>
      <c r="AB14" s="221">
        <v>37</v>
      </c>
      <c r="AC14" s="221">
        <v>37</v>
      </c>
      <c r="AD14" s="221">
        <v>37</v>
      </c>
      <c r="AE14" s="221">
        <v>37</v>
      </c>
      <c r="AF14" s="221">
        <v>37</v>
      </c>
      <c r="AG14" s="229">
        <v>42</v>
      </c>
      <c r="AH14" s="226">
        <f t="shared" si="2"/>
        <v>41</v>
      </c>
      <c r="AI14" s="227">
        <f t="shared" si="3"/>
        <v>27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5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0</v>
      </c>
      <c r="M15" s="221">
        <v>11.4</v>
      </c>
      <c r="N15" s="221">
        <v>11.4</v>
      </c>
      <c r="O15" s="221">
        <v>11.4</v>
      </c>
      <c r="P15" s="221">
        <v>11.4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26.2</v>
      </c>
      <c r="C16" s="221">
        <v>25</v>
      </c>
      <c r="D16" s="221">
        <v>25</v>
      </c>
      <c r="E16" s="221">
        <v>25</v>
      </c>
      <c r="F16" s="221">
        <v>25</v>
      </c>
      <c r="G16" s="221">
        <v>25</v>
      </c>
      <c r="H16" s="221">
        <v>25</v>
      </c>
      <c r="I16" s="221">
        <v>25</v>
      </c>
      <c r="J16" s="221">
        <v>25</v>
      </c>
      <c r="K16" s="221">
        <v>25</v>
      </c>
      <c r="L16" s="221">
        <v>25</v>
      </c>
      <c r="M16" s="221">
        <v>26.1</v>
      </c>
      <c r="N16" s="221">
        <v>26.2</v>
      </c>
      <c r="O16" s="221">
        <v>26.2</v>
      </c>
      <c r="P16" s="221">
        <v>26.2</v>
      </c>
      <c r="Q16" s="221">
        <v>26.2</v>
      </c>
      <c r="R16" s="221">
        <v>26</v>
      </c>
      <c r="S16" s="221">
        <v>26</v>
      </c>
      <c r="T16" s="221">
        <v>26</v>
      </c>
      <c r="U16" s="221">
        <v>26</v>
      </c>
      <c r="V16" s="221">
        <v>26</v>
      </c>
      <c r="W16" s="221">
        <v>26</v>
      </c>
      <c r="X16" s="221">
        <v>26</v>
      </c>
      <c r="Y16" s="221">
        <v>26</v>
      </c>
      <c r="Z16" s="221">
        <v>26</v>
      </c>
      <c r="AA16" s="221">
        <v>26</v>
      </c>
      <c r="AB16" s="221">
        <v>26.3</v>
      </c>
      <c r="AC16" s="221">
        <v>26.3</v>
      </c>
      <c r="AD16" s="221">
        <v>26.3</v>
      </c>
      <c r="AE16" s="221">
        <v>26.3</v>
      </c>
      <c r="AF16" s="221">
        <v>26.3</v>
      </c>
      <c r="AG16" s="229">
        <v>25</v>
      </c>
      <c r="AH16" s="226">
        <f t="shared" si="2"/>
        <v>26.3</v>
      </c>
      <c r="AI16" s="227">
        <f t="shared" si="3"/>
        <v>25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23</v>
      </c>
      <c r="K17" s="221">
        <v>23</v>
      </c>
      <c r="L17" s="221">
        <v>23</v>
      </c>
      <c r="M17" s="221">
        <v>25</v>
      </c>
      <c r="N17" s="221">
        <v>25</v>
      </c>
      <c r="O17" s="221">
        <v>25</v>
      </c>
      <c r="P17" s="221">
        <v>0</v>
      </c>
      <c r="Q17" s="221">
        <v>0</v>
      </c>
      <c r="R17" s="221">
        <v>0</v>
      </c>
      <c r="S17" s="221">
        <v>0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22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26</v>
      </c>
      <c r="C19" s="221">
        <v>26</v>
      </c>
      <c r="D19" s="221">
        <v>26</v>
      </c>
      <c r="E19" s="221">
        <v>26</v>
      </c>
      <c r="F19" s="221">
        <v>26</v>
      </c>
      <c r="G19" s="221">
        <v>26</v>
      </c>
      <c r="H19" s="221">
        <v>26</v>
      </c>
      <c r="I19" s="221">
        <v>26</v>
      </c>
      <c r="J19" s="221">
        <v>26</v>
      </c>
      <c r="K19" s="221">
        <v>26</v>
      </c>
      <c r="L19" s="221">
        <v>26</v>
      </c>
      <c r="M19" s="221">
        <v>26</v>
      </c>
      <c r="N19" s="221">
        <v>26</v>
      </c>
      <c r="O19" s="221">
        <v>26</v>
      </c>
      <c r="P19" s="221">
        <v>26</v>
      </c>
      <c r="Q19" s="221">
        <v>26</v>
      </c>
      <c r="R19" s="221">
        <v>33</v>
      </c>
      <c r="S19" s="221">
        <v>33</v>
      </c>
      <c r="T19" s="221">
        <v>33</v>
      </c>
      <c r="U19" s="221">
        <v>33</v>
      </c>
      <c r="V19" s="221">
        <v>33</v>
      </c>
      <c r="W19" s="221">
        <v>33</v>
      </c>
      <c r="X19" s="221">
        <v>33</v>
      </c>
      <c r="Y19" s="221">
        <v>33</v>
      </c>
      <c r="Z19" s="221">
        <v>33</v>
      </c>
      <c r="AA19" s="221">
        <v>33</v>
      </c>
      <c r="AB19" s="221">
        <v>33.299999999999997</v>
      </c>
      <c r="AC19" s="221">
        <v>33.299999999999997</v>
      </c>
      <c r="AD19" s="221">
        <v>33.299999999999997</v>
      </c>
      <c r="AE19" s="221">
        <v>33.299999999999997</v>
      </c>
      <c r="AF19" s="221">
        <v>33.299999999999997</v>
      </c>
      <c r="AG19" s="229">
        <v>24.2</v>
      </c>
      <c r="AH19" s="226">
        <f t="shared" si="2"/>
        <v>33.299999999999997</v>
      </c>
      <c r="AI19" s="227">
        <f t="shared" si="3"/>
        <v>26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23.2</v>
      </c>
      <c r="C20" s="221">
        <v>23.2</v>
      </c>
      <c r="D20" s="221">
        <v>23.2</v>
      </c>
      <c r="E20" s="221">
        <v>23.2</v>
      </c>
      <c r="F20" s="221">
        <v>23.2</v>
      </c>
      <c r="G20" s="221">
        <v>23.2</v>
      </c>
      <c r="H20" s="221">
        <v>23.2</v>
      </c>
      <c r="I20" s="221">
        <v>23.2</v>
      </c>
      <c r="J20" s="221">
        <v>23.2</v>
      </c>
      <c r="K20" s="221">
        <v>23.2</v>
      </c>
      <c r="L20" s="221">
        <v>23.2</v>
      </c>
      <c r="M20" s="221">
        <v>23.2</v>
      </c>
      <c r="N20" s="221">
        <v>23.2</v>
      </c>
      <c r="O20" s="221">
        <v>23.2</v>
      </c>
      <c r="P20" s="221">
        <v>23.2</v>
      </c>
      <c r="Q20" s="221">
        <v>23.2</v>
      </c>
      <c r="R20" s="221">
        <v>23.3</v>
      </c>
      <c r="S20" s="221">
        <v>23.3</v>
      </c>
      <c r="T20" s="221">
        <v>23.3</v>
      </c>
      <c r="U20" s="221">
        <v>23.3</v>
      </c>
      <c r="V20" s="221">
        <v>23.3</v>
      </c>
      <c r="W20" s="221">
        <v>23.3</v>
      </c>
      <c r="X20" s="221">
        <v>23.3</v>
      </c>
      <c r="Y20" s="221">
        <v>23.3</v>
      </c>
      <c r="Z20" s="221">
        <v>23.3</v>
      </c>
      <c r="AA20" s="221">
        <v>23.3</v>
      </c>
      <c r="AB20" s="221">
        <v>23.3</v>
      </c>
      <c r="AC20" s="221">
        <v>23.3</v>
      </c>
      <c r="AD20" s="221">
        <v>23.3</v>
      </c>
      <c r="AE20" s="221">
        <v>23.3</v>
      </c>
      <c r="AF20" s="221">
        <v>23.3</v>
      </c>
      <c r="AG20" s="229">
        <v>23.5</v>
      </c>
      <c r="AH20" s="226">
        <f t="shared" si="2"/>
        <v>23.3</v>
      </c>
      <c r="AI20" s="227">
        <f t="shared" si="3"/>
        <v>23.2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0</v>
      </c>
      <c r="Q22" s="221">
        <v>0</v>
      </c>
      <c r="R22" s="221">
        <v>0</v>
      </c>
      <c r="S22" s="221">
        <v>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0</v>
      </c>
      <c r="Q23" s="221">
        <v>0</v>
      </c>
      <c r="R23" s="221">
        <v>0</v>
      </c>
      <c r="S23" s="221">
        <v>0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0</v>
      </c>
      <c r="N25" s="221">
        <v>0</v>
      </c>
      <c r="O25" s="221">
        <v>0</v>
      </c>
      <c r="P25" s="221">
        <v>10</v>
      </c>
      <c r="Q25" s="221">
        <v>10</v>
      </c>
      <c r="R25" s="221">
        <v>10</v>
      </c>
      <c r="S25" s="221">
        <v>10</v>
      </c>
      <c r="T25" s="221">
        <v>20</v>
      </c>
      <c r="U25" s="221">
        <v>20</v>
      </c>
      <c r="V25" s="221">
        <v>8</v>
      </c>
      <c r="W25" s="221">
        <v>8</v>
      </c>
      <c r="X25" s="221">
        <v>8</v>
      </c>
      <c r="Y25" s="221">
        <v>16</v>
      </c>
      <c r="Z25" s="221">
        <v>20</v>
      </c>
      <c r="AA25" s="221">
        <v>15</v>
      </c>
      <c r="AB25" s="221">
        <v>15</v>
      </c>
      <c r="AC25" s="221">
        <v>15</v>
      </c>
      <c r="AD25" s="221">
        <v>15</v>
      </c>
      <c r="AE25" s="221">
        <v>15</v>
      </c>
      <c r="AF25" s="221">
        <v>15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0</v>
      </c>
      <c r="Q26" s="221">
        <v>0</v>
      </c>
      <c r="R26" s="221">
        <v>0</v>
      </c>
      <c r="S26" s="221">
        <v>0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10</v>
      </c>
      <c r="C27" s="221">
        <v>10</v>
      </c>
      <c r="D27" s="221">
        <v>10</v>
      </c>
      <c r="E27" s="221">
        <v>10</v>
      </c>
      <c r="F27" s="221">
        <v>10</v>
      </c>
      <c r="G27" s="221">
        <v>10</v>
      </c>
      <c r="H27" s="221">
        <v>10</v>
      </c>
      <c r="I27" s="221">
        <v>10</v>
      </c>
      <c r="J27" s="221">
        <v>10</v>
      </c>
      <c r="K27" s="221">
        <v>10</v>
      </c>
      <c r="L27" s="221">
        <v>10</v>
      </c>
      <c r="M27" s="221">
        <v>10</v>
      </c>
      <c r="N27" s="221">
        <v>10</v>
      </c>
      <c r="O27" s="221">
        <v>10</v>
      </c>
      <c r="P27" s="221">
        <v>10</v>
      </c>
      <c r="Q27" s="221">
        <v>10</v>
      </c>
      <c r="R27" s="221">
        <v>10</v>
      </c>
      <c r="S27" s="221">
        <v>10</v>
      </c>
      <c r="T27" s="221">
        <v>10</v>
      </c>
      <c r="U27" s="221">
        <v>10</v>
      </c>
      <c r="V27" s="221">
        <v>10</v>
      </c>
      <c r="W27" s="221">
        <v>10</v>
      </c>
      <c r="X27" s="221">
        <v>10</v>
      </c>
      <c r="Y27" s="221">
        <v>10</v>
      </c>
      <c r="Z27" s="221">
        <v>10</v>
      </c>
      <c r="AA27" s="221">
        <v>10</v>
      </c>
      <c r="AB27" s="221">
        <v>10</v>
      </c>
      <c r="AC27" s="221">
        <v>10</v>
      </c>
      <c r="AD27" s="221">
        <v>10</v>
      </c>
      <c r="AE27" s="221">
        <v>10</v>
      </c>
      <c r="AF27" s="221">
        <v>10</v>
      </c>
      <c r="AG27" s="229">
        <v>13.6</v>
      </c>
      <c r="AH27" s="226">
        <f t="shared" si="2"/>
        <v>10</v>
      </c>
      <c r="AI27" s="227">
        <f t="shared" si="3"/>
        <v>10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4</v>
      </c>
      <c r="C29" s="221">
        <v>4</v>
      </c>
      <c r="D29" s="221">
        <v>4</v>
      </c>
      <c r="E29" s="221">
        <v>4</v>
      </c>
      <c r="F29" s="221">
        <v>4</v>
      </c>
      <c r="G29" s="221">
        <v>12</v>
      </c>
      <c r="H29" s="221">
        <v>8</v>
      </c>
      <c r="I29" s="221">
        <v>4</v>
      </c>
      <c r="J29" s="221">
        <v>4</v>
      </c>
      <c r="K29" s="221">
        <v>4</v>
      </c>
      <c r="L29" s="221">
        <v>4</v>
      </c>
      <c r="M29" s="221">
        <v>4</v>
      </c>
      <c r="N29" s="221">
        <v>4</v>
      </c>
      <c r="O29" s="221">
        <v>4</v>
      </c>
      <c r="P29" s="221">
        <v>4</v>
      </c>
      <c r="Q29" s="221">
        <v>4</v>
      </c>
      <c r="R29" s="221">
        <v>4</v>
      </c>
      <c r="S29" s="221">
        <v>4</v>
      </c>
      <c r="T29" s="221">
        <v>4</v>
      </c>
      <c r="U29" s="221">
        <v>4</v>
      </c>
      <c r="V29" s="221">
        <v>4</v>
      </c>
      <c r="W29" s="221">
        <v>4</v>
      </c>
      <c r="X29" s="221">
        <v>4</v>
      </c>
      <c r="Y29" s="221">
        <v>4</v>
      </c>
      <c r="Z29" s="221">
        <v>4</v>
      </c>
      <c r="AA29" s="221">
        <v>4</v>
      </c>
      <c r="AB29" s="221">
        <v>4</v>
      </c>
      <c r="AC29" s="221">
        <v>4</v>
      </c>
      <c r="AD29" s="221">
        <v>4</v>
      </c>
      <c r="AE29" s="221">
        <v>4</v>
      </c>
      <c r="AF29" s="221">
        <v>4</v>
      </c>
      <c r="AG29" s="229">
        <v>12</v>
      </c>
      <c r="AH29" s="226">
        <f t="shared" si="2"/>
        <v>12</v>
      </c>
      <c r="AI29" s="227">
        <f t="shared" si="3"/>
        <v>4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0</v>
      </c>
      <c r="Q31" s="221">
        <v>0</v>
      </c>
      <c r="R31" s="221">
        <v>0</v>
      </c>
      <c r="S31" s="221">
        <v>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10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v>181</v>
      </c>
      <c r="C37" s="239">
        <v>181</v>
      </c>
      <c r="D37" s="239">
        <v>181</v>
      </c>
      <c r="E37" s="239">
        <v>181</v>
      </c>
      <c r="F37" s="239">
        <v>181</v>
      </c>
      <c r="G37" s="239">
        <v>181</v>
      </c>
      <c r="H37" s="239">
        <v>181</v>
      </c>
      <c r="I37" s="239">
        <v>181</v>
      </c>
      <c r="J37" s="239">
        <v>181</v>
      </c>
      <c r="K37" s="239">
        <v>181</v>
      </c>
      <c r="L37" s="239">
        <v>181</v>
      </c>
      <c r="M37" s="239">
        <f>77.6+98.6</f>
        <v>176.2</v>
      </c>
      <c r="N37" s="239">
        <v>177</v>
      </c>
      <c r="O37" s="239">
        <v>177</v>
      </c>
      <c r="P37" s="239">
        <v>0</v>
      </c>
      <c r="Q37" s="239">
        <v>0</v>
      </c>
      <c r="R37" s="239">
        <v>0</v>
      </c>
      <c r="S37" s="239">
        <v>0</v>
      </c>
      <c r="T37" s="239">
        <f>62.6+53</f>
        <v>115.6</v>
      </c>
      <c r="U37" s="239">
        <f>77+101</f>
        <v>178</v>
      </c>
      <c r="V37" s="239">
        <f>77+101</f>
        <v>178</v>
      </c>
      <c r="W37" s="239">
        <f>77+101</f>
        <v>178</v>
      </c>
      <c r="X37" s="239">
        <f>77+101</f>
        <v>178</v>
      </c>
      <c r="Y37" s="239">
        <f>75.6+98</f>
        <v>173.6</v>
      </c>
      <c r="Z37" s="239">
        <f>99.2+75.6</f>
        <v>174.8</v>
      </c>
      <c r="AA37" s="239">
        <v>176.5</v>
      </c>
      <c r="AB37" s="239">
        <f>76.9+99.7</f>
        <v>176.60000000000002</v>
      </c>
      <c r="AC37" s="239">
        <f>77.1+101</f>
        <v>178.1</v>
      </c>
      <c r="AD37" s="239">
        <f>77.5+101.4</f>
        <v>178.9</v>
      </c>
      <c r="AE37" s="239">
        <f>77.9+102.3</f>
        <v>180.2</v>
      </c>
      <c r="AF37" s="239">
        <f>75.5+98</f>
        <v>173.5</v>
      </c>
      <c r="AG37" s="235">
        <v>240</v>
      </c>
      <c r="AH37" s="226">
        <f t="shared" si="2"/>
        <v>181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774.09999999999991</v>
      </c>
      <c r="C38" s="241">
        <f t="shared" si="4"/>
        <v>759.9</v>
      </c>
      <c r="D38" s="241">
        <f t="shared" si="4"/>
        <v>759.9</v>
      </c>
      <c r="E38" s="241">
        <f t="shared" si="4"/>
        <v>759.9</v>
      </c>
      <c r="F38" s="241">
        <f t="shared" si="4"/>
        <v>759.9</v>
      </c>
      <c r="G38" s="241">
        <f t="shared" si="4"/>
        <v>767.9</v>
      </c>
      <c r="H38" s="241">
        <f t="shared" si="4"/>
        <v>763.9</v>
      </c>
      <c r="I38" s="241">
        <f t="shared" si="4"/>
        <v>759.9</v>
      </c>
      <c r="J38" s="241">
        <f t="shared" si="4"/>
        <v>757.9</v>
      </c>
      <c r="K38" s="241">
        <f t="shared" si="4"/>
        <v>757.9</v>
      </c>
      <c r="L38" s="241">
        <f t="shared" si="4"/>
        <v>757.9</v>
      </c>
      <c r="M38" s="241">
        <f t="shared" si="4"/>
        <v>771.9</v>
      </c>
      <c r="N38" s="241">
        <f t="shared" si="4"/>
        <v>783.09999999999991</v>
      </c>
      <c r="O38" s="241">
        <f t="shared" si="4"/>
        <v>758</v>
      </c>
      <c r="P38" s="241">
        <f t="shared" si="4"/>
        <v>673.3</v>
      </c>
      <c r="Q38" s="241">
        <f t="shared" si="4"/>
        <v>691.9</v>
      </c>
      <c r="R38" s="241">
        <f t="shared" si="4"/>
        <v>698.6</v>
      </c>
      <c r="S38" s="241">
        <f t="shared" si="4"/>
        <v>700.6</v>
      </c>
      <c r="T38" s="241">
        <f t="shared" si="4"/>
        <v>827.5</v>
      </c>
      <c r="U38" s="241">
        <f t="shared" si="4"/>
        <v>827.5</v>
      </c>
      <c r="V38" s="241">
        <f t="shared" si="4"/>
        <v>815.5</v>
      </c>
      <c r="W38" s="241">
        <f t="shared" si="4"/>
        <v>815.5</v>
      </c>
      <c r="X38" s="241">
        <f t="shared" si="4"/>
        <v>821.5</v>
      </c>
      <c r="Y38" s="241">
        <f t="shared" si="4"/>
        <v>827.5</v>
      </c>
      <c r="Z38" s="241">
        <f t="shared" si="4"/>
        <v>831.5</v>
      </c>
      <c r="AA38" s="241">
        <f t="shared" si="4"/>
        <v>824.5</v>
      </c>
      <c r="AB38" s="241">
        <f t="shared" si="4"/>
        <v>823.6</v>
      </c>
      <c r="AC38" s="241">
        <f t="shared" si="4"/>
        <v>823.6</v>
      </c>
      <c r="AD38" s="241">
        <f t="shared" si="4"/>
        <v>823.6</v>
      </c>
      <c r="AE38" s="241">
        <f t="shared" si="4"/>
        <v>823.5</v>
      </c>
      <c r="AF38" s="241">
        <f t="shared" si="4"/>
        <v>820.40000000000009</v>
      </c>
      <c r="AG38" s="242">
        <f t="shared" si="4"/>
        <v>665.78</v>
      </c>
      <c r="AH38" s="226">
        <f t="shared" si="2"/>
        <v>831.5</v>
      </c>
      <c r="AI38" s="227">
        <f t="shared" si="3"/>
        <v>673.3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380</v>
      </c>
      <c r="AE39" s="221">
        <v>380</v>
      </c>
      <c r="AF39" s="221">
        <v>380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462</v>
      </c>
      <c r="AE42" s="241">
        <f t="shared" si="5"/>
        <v>462</v>
      </c>
      <c r="AF42" s="241">
        <f t="shared" si="5"/>
        <v>462</v>
      </c>
      <c r="AG42" s="242">
        <f t="shared" si="5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137</v>
      </c>
      <c r="C43" s="221">
        <v>137</v>
      </c>
      <c r="D43" s="221">
        <v>137</v>
      </c>
      <c r="E43" s="221">
        <v>121</v>
      </c>
      <c r="F43" s="221">
        <v>121</v>
      </c>
      <c r="G43" s="221">
        <v>121</v>
      </c>
      <c r="H43" s="221">
        <v>121</v>
      </c>
      <c r="I43" s="221">
        <v>121</v>
      </c>
      <c r="J43" s="221">
        <v>121</v>
      </c>
      <c r="K43" s="221">
        <v>128</v>
      </c>
      <c r="L43" s="221">
        <v>135</v>
      </c>
      <c r="M43" s="221">
        <v>136.6</v>
      </c>
      <c r="N43" s="221">
        <v>136</v>
      </c>
      <c r="O43" s="221">
        <v>136</v>
      </c>
      <c r="P43" s="221">
        <v>136</v>
      </c>
      <c r="Q43" s="221">
        <v>136</v>
      </c>
      <c r="R43" s="221">
        <v>134.69999999999999</v>
      </c>
      <c r="S43" s="221">
        <v>134.69999999999999</v>
      </c>
      <c r="T43" s="221">
        <v>133.5</v>
      </c>
      <c r="U43" s="221">
        <v>133.5</v>
      </c>
      <c r="V43" s="221">
        <v>133.5</v>
      </c>
      <c r="W43" s="221">
        <v>133.5</v>
      </c>
      <c r="X43" s="221">
        <v>133.5</v>
      </c>
      <c r="Y43" s="221">
        <v>134.80000000000001</v>
      </c>
      <c r="Z43" s="221">
        <v>134.80000000000001</v>
      </c>
      <c r="AA43" s="221">
        <v>134.80000000000001</v>
      </c>
      <c r="AB43" s="221">
        <v>137.4</v>
      </c>
      <c r="AC43" s="221">
        <v>137.6</v>
      </c>
      <c r="AD43" s="221">
        <v>137</v>
      </c>
      <c r="AE43" s="221">
        <v>136.6</v>
      </c>
      <c r="AF43" s="221">
        <v>136.6</v>
      </c>
      <c r="AG43" s="230">
        <v>144</v>
      </c>
      <c r="AH43" s="226">
        <f t="shared" si="2"/>
        <v>137.6</v>
      </c>
      <c r="AI43" s="227">
        <f t="shared" si="3"/>
        <v>121</v>
      </c>
      <c r="AK43" s="228"/>
    </row>
    <row r="44" spans="1:88" x14ac:dyDescent="0.25">
      <c r="A44" s="234" t="s">
        <v>52</v>
      </c>
      <c r="B44" s="245">
        <v>67</v>
      </c>
      <c r="C44" s="245">
        <v>67</v>
      </c>
      <c r="D44" s="245">
        <v>67</v>
      </c>
      <c r="E44" s="245">
        <v>60</v>
      </c>
      <c r="F44" s="245">
        <v>60</v>
      </c>
      <c r="G44" s="245">
        <v>55</v>
      </c>
      <c r="H44" s="245">
        <v>50</v>
      </c>
      <c r="I44" s="245">
        <v>50</v>
      </c>
      <c r="J44" s="245">
        <v>50</v>
      </c>
      <c r="K44" s="245">
        <v>70</v>
      </c>
      <c r="L44" s="245">
        <v>70</v>
      </c>
      <c r="M44" s="245">
        <v>71.3</v>
      </c>
      <c r="N44" s="221">
        <v>70.900000000000006</v>
      </c>
      <c r="O44" s="221">
        <v>70.900000000000006</v>
      </c>
      <c r="P44" s="221">
        <v>70.900000000000006</v>
      </c>
      <c r="Q44" s="221">
        <v>70.900000000000006</v>
      </c>
      <c r="R44" s="221">
        <v>70.900000000000006</v>
      </c>
      <c r="S44" s="221">
        <v>70.900000000000006</v>
      </c>
      <c r="T44" s="245">
        <v>70.5</v>
      </c>
      <c r="U44" s="245">
        <v>70.5</v>
      </c>
      <c r="V44" s="245">
        <v>70.5</v>
      </c>
      <c r="W44" s="245">
        <v>70.5</v>
      </c>
      <c r="X44" s="245">
        <v>70.5</v>
      </c>
      <c r="Y44" s="245">
        <v>70.5</v>
      </c>
      <c r="Z44" s="245">
        <v>70.5</v>
      </c>
      <c r="AA44" s="245">
        <v>70.5</v>
      </c>
      <c r="AB44" s="245">
        <v>70.3</v>
      </c>
      <c r="AC44" s="245">
        <v>71.5</v>
      </c>
      <c r="AD44" s="245">
        <v>71.3</v>
      </c>
      <c r="AE44" s="245">
        <v>71.7</v>
      </c>
      <c r="AF44" s="245">
        <v>71.8</v>
      </c>
      <c r="AG44" s="235">
        <v>70</v>
      </c>
      <c r="AH44" s="226">
        <f t="shared" si="2"/>
        <v>71.8</v>
      </c>
      <c r="AI44" s="227">
        <f t="shared" si="3"/>
        <v>50</v>
      </c>
      <c r="AK44" s="228"/>
    </row>
    <row r="45" spans="1:88" x14ac:dyDescent="0.25">
      <c r="A45" s="234" t="s">
        <v>53</v>
      </c>
      <c r="B45" s="245">
        <v>61.9</v>
      </c>
      <c r="C45" s="245">
        <v>61.9</v>
      </c>
      <c r="D45" s="245">
        <v>61.9</v>
      </c>
      <c r="E45" s="245">
        <v>53</v>
      </c>
      <c r="F45" s="245">
        <v>53</v>
      </c>
      <c r="G45" s="245">
        <v>53</v>
      </c>
      <c r="H45" s="245">
        <v>49</v>
      </c>
      <c r="I45" s="245">
        <v>49</v>
      </c>
      <c r="J45" s="245">
        <v>63</v>
      </c>
      <c r="K45" s="245">
        <v>64</v>
      </c>
      <c r="L45" s="245">
        <v>64</v>
      </c>
      <c r="M45" s="245">
        <v>62.7</v>
      </c>
      <c r="N45" s="221">
        <v>62.6</v>
      </c>
      <c r="O45" s="221">
        <v>62.6</v>
      </c>
      <c r="P45" s="221">
        <v>62.6</v>
      </c>
      <c r="Q45" s="221">
        <v>62.6</v>
      </c>
      <c r="R45" s="221">
        <v>62.6</v>
      </c>
      <c r="S45" s="221">
        <v>62.6</v>
      </c>
      <c r="T45" s="245">
        <v>62.9</v>
      </c>
      <c r="U45" s="245">
        <v>62.9</v>
      </c>
      <c r="V45" s="245">
        <v>62.9</v>
      </c>
      <c r="W45" s="245">
        <v>62.9</v>
      </c>
      <c r="X45" s="245">
        <v>62.9</v>
      </c>
      <c r="Y45" s="245">
        <v>62.9</v>
      </c>
      <c r="Z45" s="245">
        <v>62.9</v>
      </c>
      <c r="AA45" s="245">
        <v>62.9</v>
      </c>
      <c r="AB45" s="245">
        <v>62.8</v>
      </c>
      <c r="AC45" s="245">
        <v>62.9</v>
      </c>
      <c r="AD45" s="245">
        <v>63</v>
      </c>
      <c r="AE45" s="245">
        <v>63.1</v>
      </c>
      <c r="AF45" s="245">
        <v>63.2</v>
      </c>
      <c r="AG45" s="235">
        <v>69</v>
      </c>
      <c r="AH45" s="226">
        <f t="shared" si="2"/>
        <v>64</v>
      </c>
      <c r="AI45" s="227">
        <f t="shared" si="3"/>
        <v>49</v>
      </c>
      <c r="AK45" s="228"/>
    </row>
    <row r="46" spans="1:88" x14ac:dyDescent="0.25">
      <c r="A46" s="234" t="s">
        <v>54</v>
      </c>
      <c r="B46" s="237">
        <v>61.2</v>
      </c>
      <c r="C46" s="237">
        <v>61.2</v>
      </c>
      <c r="D46" s="237">
        <v>61.2</v>
      </c>
      <c r="E46" s="237">
        <v>50</v>
      </c>
      <c r="F46" s="237">
        <v>50</v>
      </c>
      <c r="G46" s="237">
        <v>50</v>
      </c>
      <c r="H46" s="237">
        <v>40</v>
      </c>
      <c r="I46" s="237">
        <v>40</v>
      </c>
      <c r="J46" s="237">
        <v>40</v>
      </c>
      <c r="K46" s="237">
        <v>61</v>
      </c>
      <c r="L46" s="237">
        <v>61</v>
      </c>
      <c r="M46" s="237">
        <v>61.7</v>
      </c>
      <c r="N46" s="221">
        <v>61.7</v>
      </c>
      <c r="O46" s="221">
        <v>61.7</v>
      </c>
      <c r="P46" s="221">
        <v>61.7</v>
      </c>
      <c r="Q46" s="221">
        <v>61.7</v>
      </c>
      <c r="R46" s="221">
        <v>61.7</v>
      </c>
      <c r="S46" s="221">
        <v>61.7</v>
      </c>
      <c r="T46" s="221">
        <v>60.9</v>
      </c>
      <c r="U46" s="221">
        <v>60.9</v>
      </c>
      <c r="V46" s="221">
        <v>60.9</v>
      </c>
      <c r="W46" s="221">
        <v>60.9</v>
      </c>
      <c r="X46" s="221">
        <v>60.9</v>
      </c>
      <c r="Y46" s="221">
        <v>60.9</v>
      </c>
      <c r="Z46" s="221">
        <v>60.9</v>
      </c>
      <c r="AA46" s="245">
        <v>60.9</v>
      </c>
      <c r="AB46" s="237">
        <v>60.9</v>
      </c>
      <c r="AC46" s="237">
        <v>60.9</v>
      </c>
      <c r="AD46" s="237">
        <v>60.9</v>
      </c>
      <c r="AE46" s="237">
        <v>60.9</v>
      </c>
      <c r="AF46" s="237">
        <v>60.9</v>
      </c>
      <c r="AG46" s="235">
        <v>60</v>
      </c>
      <c r="AH46" s="226">
        <f t="shared" si="2"/>
        <v>61.7</v>
      </c>
      <c r="AI46" s="227">
        <f t="shared" si="3"/>
        <v>40</v>
      </c>
      <c r="AK46" s="228"/>
    </row>
    <row r="47" spans="1:88" x14ac:dyDescent="0.25">
      <c r="A47" s="234" t="s">
        <v>55</v>
      </c>
      <c r="B47" s="237">
        <v>29</v>
      </c>
      <c r="C47" s="237">
        <v>29</v>
      </c>
      <c r="D47" s="237">
        <v>29</v>
      </c>
      <c r="E47" s="237">
        <v>29</v>
      </c>
      <c r="F47" s="237">
        <v>29</v>
      </c>
      <c r="G47" s="237">
        <v>29</v>
      </c>
      <c r="H47" s="237">
        <v>29</v>
      </c>
      <c r="I47" s="237">
        <v>29</v>
      </c>
      <c r="J47" s="237">
        <v>29</v>
      </c>
      <c r="K47" s="237">
        <v>29</v>
      </c>
      <c r="L47" s="237">
        <v>29</v>
      </c>
      <c r="M47" s="221">
        <v>29</v>
      </c>
      <c r="N47" s="221">
        <v>29</v>
      </c>
      <c r="O47" s="221">
        <v>29</v>
      </c>
      <c r="P47" s="221">
        <v>29</v>
      </c>
      <c r="Q47" s="221">
        <v>29</v>
      </c>
      <c r="R47" s="221">
        <v>29</v>
      </c>
      <c r="S47" s="221">
        <v>29</v>
      </c>
      <c r="T47" s="221">
        <v>28.3</v>
      </c>
      <c r="U47" s="221">
        <v>0</v>
      </c>
      <c r="V47" s="221">
        <v>0</v>
      </c>
      <c r="W47" s="221">
        <v>0</v>
      </c>
      <c r="X47" s="221">
        <v>28.8</v>
      </c>
      <c r="Y47" s="221">
        <v>28.8</v>
      </c>
      <c r="Z47" s="221">
        <v>28.8</v>
      </c>
      <c r="AA47" s="245">
        <v>28.8</v>
      </c>
      <c r="AB47" s="237">
        <v>28.3</v>
      </c>
      <c r="AC47" s="237">
        <v>28.4</v>
      </c>
      <c r="AD47" s="237">
        <v>28.4</v>
      </c>
      <c r="AE47" s="237">
        <v>28.4</v>
      </c>
      <c r="AF47" s="237">
        <v>28.3</v>
      </c>
      <c r="AG47" s="235">
        <v>30</v>
      </c>
      <c r="AH47" s="226">
        <f t="shared" si="2"/>
        <v>29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0</v>
      </c>
      <c r="N48" s="221">
        <v>0</v>
      </c>
      <c r="O48" s="221">
        <v>0</v>
      </c>
      <c r="P48" s="221">
        <v>0</v>
      </c>
      <c r="Q48" s="221">
        <v>0</v>
      </c>
      <c r="R48" s="221">
        <v>0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0</v>
      </c>
      <c r="Z48" s="221">
        <v>0</v>
      </c>
      <c r="AA48" s="221">
        <v>0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</v>
      </c>
      <c r="C49" s="245">
        <v>17.3</v>
      </c>
      <c r="D49" s="245">
        <v>17.3</v>
      </c>
      <c r="E49" s="245">
        <v>13.5</v>
      </c>
      <c r="F49" s="245">
        <v>13.5</v>
      </c>
      <c r="G49" s="245">
        <v>13.5</v>
      </c>
      <c r="H49" s="245">
        <v>13.5</v>
      </c>
      <c r="I49" s="245">
        <v>13.5</v>
      </c>
      <c r="J49" s="245">
        <v>13.5</v>
      </c>
      <c r="K49" s="245">
        <v>13.5</v>
      </c>
      <c r="L49" s="245">
        <v>13.5</v>
      </c>
      <c r="M49" s="245">
        <v>16.899999999999999</v>
      </c>
      <c r="N49" s="221">
        <v>16.899999999999999</v>
      </c>
      <c r="O49" s="221">
        <v>16.899999999999999</v>
      </c>
      <c r="P49" s="221">
        <v>16.899999999999999</v>
      </c>
      <c r="Q49" s="221">
        <v>16.899999999999999</v>
      </c>
      <c r="R49" s="221">
        <v>16.899999999999999</v>
      </c>
      <c r="S49" s="221">
        <v>16.899999999999999</v>
      </c>
      <c r="T49" s="221">
        <v>14.5</v>
      </c>
      <c r="U49" s="221">
        <v>14.5</v>
      </c>
      <c r="V49" s="221">
        <v>14.5</v>
      </c>
      <c r="W49" s="221">
        <v>14.5</v>
      </c>
      <c r="X49" s="221">
        <v>14.5</v>
      </c>
      <c r="Y49" s="221">
        <v>14.5</v>
      </c>
      <c r="Z49" s="221">
        <v>14.5</v>
      </c>
      <c r="AA49" s="221">
        <v>14.5</v>
      </c>
      <c r="AB49" s="245">
        <v>17.2</v>
      </c>
      <c r="AC49" s="245">
        <v>17.2</v>
      </c>
      <c r="AD49" s="245">
        <v>17.2</v>
      </c>
      <c r="AE49" s="245">
        <v>17.2</v>
      </c>
      <c r="AF49" s="245">
        <v>17.3</v>
      </c>
      <c r="AG49" s="235">
        <v>24</v>
      </c>
      <c r="AH49" s="226">
        <f t="shared" si="2"/>
        <v>17.3</v>
      </c>
      <c r="AI49" s="227">
        <f t="shared" si="3"/>
        <v>13.5</v>
      </c>
      <c r="AK49" s="228"/>
    </row>
    <row r="50" spans="1:41" x14ac:dyDescent="0.25">
      <c r="A50" s="234" t="s">
        <v>58</v>
      </c>
      <c r="B50" s="245">
        <v>2.5</v>
      </c>
      <c r="C50" s="245">
        <v>2.5</v>
      </c>
      <c r="D50" s="245">
        <v>2.5</v>
      </c>
      <c r="E50" s="245">
        <v>2.5</v>
      </c>
      <c r="F50" s="245">
        <v>2.5</v>
      </c>
      <c r="G50" s="245">
        <v>2.5</v>
      </c>
      <c r="H50" s="245">
        <v>2.5</v>
      </c>
      <c r="I50" s="245">
        <v>2.5</v>
      </c>
      <c r="J50" s="245">
        <v>2.5</v>
      </c>
      <c r="K50" s="245">
        <v>2.5</v>
      </c>
      <c r="L50" s="245">
        <v>2.5</v>
      </c>
      <c r="M50" s="245">
        <v>2.5</v>
      </c>
      <c r="N50" s="221">
        <v>2.5</v>
      </c>
      <c r="O50" s="221">
        <v>2.5</v>
      </c>
      <c r="P50" s="221">
        <v>2.5</v>
      </c>
      <c r="Q50" s="221">
        <v>2.5</v>
      </c>
      <c r="R50" s="221">
        <v>2.5</v>
      </c>
      <c r="S50" s="221">
        <v>2.5</v>
      </c>
      <c r="T50" s="221">
        <v>2.5</v>
      </c>
      <c r="U50" s="221">
        <v>2.5</v>
      </c>
      <c r="V50" s="221">
        <v>2.5</v>
      </c>
      <c r="W50" s="221">
        <v>2.5</v>
      </c>
      <c r="X50" s="221">
        <v>2.5</v>
      </c>
      <c r="Y50" s="221">
        <v>2.5</v>
      </c>
      <c r="Z50" s="221">
        <v>2.5</v>
      </c>
      <c r="AA50" s="221">
        <v>2.5</v>
      </c>
      <c r="AB50" s="245">
        <v>2.5</v>
      </c>
      <c r="AC50" s="245">
        <v>2.5</v>
      </c>
      <c r="AD50" s="245">
        <v>2.5</v>
      </c>
      <c r="AE50" s="245">
        <v>2.5</v>
      </c>
      <c r="AF50" s="245">
        <v>2.5</v>
      </c>
      <c r="AG50" s="235">
        <v>15</v>
      </c>
      <c r="AH50" s="226">
        <f t="shared" si="2"/>
        <v>2.5</v>
      </c>
      <c r="AI50" s="227">
        <f t="shared" si="3"/>
        <v>2.5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10.7</v>
      </c>
      <c r="C51" s="245">
        <v>10.7</v>
      </c>
      <c r="D51" s="245">
        <v>10.7</v>
      </c>
      <c r="E51" s="245">
        <v>10.7</v>
      </c>
      <c r="F51" s="245">
        <v>10.7</v>
      </c>
      <c r="G51" s="245">
        <v>10.7</v>
      </c>
      <c r="H51" s="245">
        <v>10.7</v>
      </c>
      <c r="I51" s="245">
        <v>10.7</v>
      </c>
      <c r="J51" s="245">
        <v>10.7</v>
      </c>
      <c r="K51" s="245">
        <v>10.7</v>
      </c>
      <c r="L51" s="245">
        <v>10.7</v>
      </c>
      <c r="M51" s="245">
        <v>12.9</v>
      </c>
      <c r="N51" s="221">
        <v>12.9</v>
      </c>
      <c r="O51" s="221">
        <v>12.9</v>
      </c>
      <c r="P51" s="221">
        <v>12.9</v>
      </c>
      <c r="Q51" s="221">
        <v>12.9</v>
      </c>
      <c r="R51" s="221">
        <v>12.9</v>
      </c>
      <c r="S51" s="221">
        <v>12.9</v>
      </c>
      <c r="T51" s="221">
        <v>12.9</v>
      </c>
      <c r="U51" s="221">
        <v>12.9</v>
      </c>
      <c r="V51" s="221">
        <v>12.9</v>
      </c>
      <c r="W51" s="221">
        <v>12.9</v>
      </c>
      <c r="X51" s="221">
        <v>12.9</v>
      </c>
      <c r="Y51" s="221">
        <v>12.9</v>
      </c>
      <c r="Z51" s="221">
        <v>12.9</v>
      </c>
      <c r="AA51" s="221">
        <v>12.9</v>
      </c>
      <c r="AB51" s="245">
        <v>13</v>
      </c>
      <c r="AC51" s="245">
        <v>13.3</v>
      </c>
      <c r="AD51" s="245">
        <v>13.3</v>
      </c>
      <c r="AE51" s="245">
        <v>13.3</v>
      </c>
      <c r="AF51" s="245">
        <v>13.1</v>
      </c>
      <c r="AG51" s="235">
        <v>14.1</v>
      </c>
      <c r="AH51" s="226">
        <f t="shared" si="2"/>
        <v>13.3</v>
      </c>
      <c r="AI51" s="227">
        <f t="shared" si="3"/>
        <v>10.7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45">
        <v>14</v>
      </c>
      <c r="N52" s="245">
        <v>2</v>
      </c>
      <c r="O52" s="245">
        <v>2</v>
      </c>
      <c r="P52" s="245">
        <v>2</v>
      </c>
      <c r="Q52" s="245">
        <v>2</v>
      </c>
      <c r="R52" s="245">
        <v>2</v>
      </c>
      <c r="S52" s="245">
        <v>2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45">
        <v>14</v>
      </c>
      <c r="AC52" s="245">
        <v>14</v>
      </c>
      <c r="AD52" s="245">
        <v>14</v>
      </c>
      <c r="AE52" s="245">
        <v>14</v>
      </c>
      <c r="AF52" s="245">
        <v>13.7</v>
      </c>
      <c r="AG52" s="235">
        <v>14</v>
      </c>
      <c r="AH52" s="226">
        <f t="shared" si="2"/>
        <v>14</v>
      </c>
      <c r="AI52" s="227">
        <f t="shared" si="3"/>
        <v>2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45">
        <v>10</v>
      </c>
      <c r="S53" s="245">
        <v>10</v>
      </c>
      <c r="T53" s="221">
        <v>0</v>
      </c>
      <c r="U53" s="221">
        <v>5</v>
      </c>
      <c r="V53" s="221">
        <v>5</v>
      </c>
      <c r="W53" s="221">
        <v>5</v>
      </c>
      <c r="X53" s="221">
        <v>5</v>
      </c>
      <c r="Y53" s="221">
        <v>5</v>
      </c>
      <c r="Z53" s="221">
        <v>5</v>
      </c>
      <c r="AA53" s="221">
        <v>5</v>
      </c>
      <c r="AB53" s="245">
        <v>5</v>
      </c>
      <c r="AC53" s="245">
        <v>9.6</v>
      </c>
      <c r="AD53" s="245">
        <v>9.6</v>
      </c>
      <c r="AE53" s="245">
        <v>9.6</v>
      </c>
      <c r="AF53" s="245">
        <v>10</v>
      </c>
      <c r="AG53" s="235">
        <v>10.050000000000001</v>
      </c>
      <c r="AH53" s="226">
        <f t="shared" si="2"/>
        <v>10</v>
      </c>
      <c r="AI53" s="227">
        <f t="shared" si="3"/>
        <v>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0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0</v>
      </c>
      <c r="AK55" s="228"/>
    </row>
    <row r="56" spans="1:41" ht="15.75" thickBot="1" x14ac:dyDescent="0.3">
      <c r="A56" s="254" t="s">
        <v>64</v>
      </c>
      <c r="B56" s="241">
        <f>SUM(B43:B55)</f>
        <v>420.34</v>
      </c>
      <c r="C56" s="241">
        <f t="shared" ref="C56:AG56" si="6">SUM(C43:C55)</f>
        <v>420.34</v>
      </c>
      <c r="D56" s="241">
        <f t="shared" si="6"/>
        <v>420.34</v>
      </c>
      <c r="E56" s="241">
        <f t="shared" si="6"/>
        <v>373.44</v>
      </c>
      <c r="F56" s="241">
        <f t="shared" si="6"/>
        <v>373.44</v>
      </c>
      <c r="G56" s="241">
        <f t="shared" si="6"/>
        <v>368.44</v>
      </c>
      <c r="H56" s="241">
        <f t="shared" si="6"/>
        <v>345.9</v>
      </c>
      <c r="I56" s="241">
        <f t="shared" si="6"/>
        <v>349.44</v>
      </c>
      <c r="J56" s="241">
        <f t="shared" si="6"/>
        <v>363.44</v>
      </c>
      <c r="K56" s="241">
        <f t="shared" si="6"/>
        <v>412.44</v>
      </c>
      <c r="L56" s="241">
        <f t="shared" si="6"/>
        <v>419.44</v>
      </c>
      <c r="M56" s="241">
        <f t="shared" si="6"/>
        <v>427.33999999999992</v>
      </c>
      <c r="N56" s="241">
        <f t="shared" si="6"/>
        <v>414.23999999999995</v>
      </c>
      <c r="O56" s="241">
        <f t="shared" si="6"/>
        <v>414.23999999999995</v>
      </c>
      <c r="P56" s="241">
        <f t="shared" si="6"/>
        <v>414.23999999999995</v>
      </c>
      <c r="Q56" s="241">
        <f t="shared" si="6"/>
        <v>414.23999999999995</v>
      </c>
      <c r="R56" s="241">
        <f t="shared" si="6"/>
        <v>412.93999999999994</v>
      </c>
      <c r="S56" s="241">
        <f t="shared" si="6"/>
        <v>420.93999999999994</v>
      </c>
      <c r="T56" s="241">
        <f t="shared" si="6"/>
        <v>417.73999999999995</v>
      </c>
      <c r="U56" s="241">
        <f t="shared" si="6"/>
        <v>394.43999999999994</v>
      </c>
      <c r="V56" s="241">
        <f t="shared" si="6"/>
        <v>394.43999999999994</v>
      </c>
      <c r="W56" s="241">
        <f t="shared" si="6"/>
        <v>394.43999999999994</v>
      </c>
      <c r="X56" s="241">
        <f t="shared" si="6"/>
        <v>423.23999999999995</v>
      </c>
      <c r="Y56" s="241">
        <f t="shared" si="6"/>
        <v>416.53999999999996</v>
      </c>
      <c r="Z56" s="241">
        <f t="shared" si="6"/>
        <v>416.53999999999996</v>
      </c>
      <c r="AA56" s="241">
        <f t="shared" si="6"/>
        <v>416.53999999999996</v>
      </c>
      <c r="AB56" s="241">
        <f t="shared" si="6"/>
        <v>421.14</v>
      </c>
      <c r="AC56" s="241">
        <f t="shared" si="6"/>
        <v>427.64</v>
      </c>
      <c r="AD56" s="241">
        <f t="shared" si="6"/>
        <v>426.94</v>
      </c>
      <c r="AE56" s="241">
        <f t="shared" si="6"/>
        <v>427.04</v>
      </c>
      <c r="AF56" s="241">
        <f t="shared" si="6"/>
        <v>427.14</v>
      </c>
      <c r="AG56" s="242">
        <f t="shared" si="6"/>
        <v>489.91</v>
      </c>
      <c r="AH56" s="226">
        <f t="shared" si="2"/>
        <v>427.64</v>
      </c>
      <c r="AI56" s="227">
        <f t="shared" si="3"/>
        <v>345.9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19</v>
      </c>
      <c r="V57" s="221">
        <v>0</v>
      </c>
      <c r="W57" s="221">
        <v>0</v>
      </c>
      <c r="X57" s="221">
        <v>0</v>
      </c>
      <c r="Y57" s="221">
        <v>13.9</v>
      </c>
      <c r="Z57" s="221">
        <v>55.9</v>
      </c>
      <c r="AA57" s="221">
        <v>39.5</v>
      </c>
      <c r="AB57" s="221">
        <v>33.4</v>
      </c>
      <c r="AC57" s="221">
        <v>44.1</v>
      </c>
      <c r="AD57" s="221">
        <v>49.1</v>
      </c>
      <c r="AE57" s="221">
        <v>19.7</v>
      </c>
      <c r="AF57" s="221">
        <v>0</v>
      </c>
      <c r="AG57" s="230">
        <v>60</v>
      </c>
      <c r="AH57" s="226">
        <f t="shared" si="2"/>
        <v>55.9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9</v>
      </c>
      <c r="V58" s="245">
        <v>0</v>
      </c>
      <c r="W58" s="245">
        <v>0</v>
      </c>
      <c r="X58" s="245">
        <v>0</v>
      </c>
      <c r="Y58" s="245">
        <v>0</v>
      </c>
      <c r="Z58" s="245">
        <v>24.9</v>
      </c>
      <c r="AA58" s="245">
        <v>23</v>
      </c>
      <c r="AB58" s="245">
        <v>15.6</v>
      </c>
      <c r="AC58" s="245">
        <v>20.2</v>
      </c>
      <c r="AD58" s="245">
        <v>25.2</v>
      </c>
      <c r="AE58" s="245">
        <v>14.5</v>
      </c>
      <c r="AF58" s="245">
        <v>0</v>
      </c>
      <c r="AG58" s="235">
        <v>32</v>
      </c>
      <c r="AH58" s="226">
        <f t="shared" si="2"/>
        <v>25.2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3.5</v>
      </c>
      <c r="V59" s="247">
        <v>0</v>
      </c>
      <c r="W59" s="247">
        <v>0</v>
      </c>
      <c r="X59" s="247">
        <v>0</v>
      </c>
      <c r="Y59" s="247">
        <v>0</v>
      </c>
      <c r="Z59" s="247">
        <v>9.1</v>
      </c>
      <c r="AA59" s="247">
        <v>8.4</v>
      </c>
      <c r="AB59" s="247">
        <v>5.7</v>
      </c>
      <c r="AC59" s="247">
        <v>7.4</v>
      </c>
      <c r="AD59" s="247">
        <v>9.1999999999999993</v>
      </c>
      <c r="AE59" s="247">
        <v>5.3</v>
      </c>
      <c r="AF59" s="247">
        <v>0</v>
      </c>
      <c r="AG59" s="248">
        <v>14</v>
      </c>
      <c r="AH59" s="226">
        <f t="shared" si="2"/>
        <v>9.1999999999999993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>SUM(E57:E59)</f>
        <v>0</v>
      </c>
      <c r="F60" s="241">
        <f>SUM(F57:F59)</f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31.5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13.9</v>
      </c>
      <c r="Z60" s="241">
        <f t="shared" si="7"/>
        <v>89.899999999999991</v>
      </c>
      <c r="AA60" s="241">
        <f t="shared" si="7"/>
        <v>70.900000000000006</v>
      </c>
      <c r="AB60" s="241">
        <f t="shared" si="7"/>
        <v>54.7</v>
      </c>
      <c r="AC60" s="241">
        <f t="shared" si="7"/>
        <v>71.7</v>
      </c>
      <c r="AD60" s="241">
        <f t="shared" si="7"/>
        <v>83.5</v>
      </c>
      <c r="AE60" s="241">
        <f t="shared" si="7"/>
        <v>39.5</v>
      </c>
      <c r="AF60" s="241">
        <f t="shared" si="7"/>
        <v>0</v>
      </c>
      <c r="AG60" s="242">
        <f t="shared" si="7"/>
        <v>106</v>
      </c>
      <c r="AH60" s="226">
        <f t="shared" si="2"/>
        <v>89.899999999999991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10.7</v>
      </c>
      <c r="T61" s="221">
        <v>4.5</v>
      </c>
      <c r="U61" s="221">
        <v>18</v>
      </c>
      <c r="V61" s="221">
        <v>17.399999999999999</v>
      </c>
      <c r="W61" s="221">
        <v>17.399999999999999</v>
      </c>
      <c r="X61" s="221">
        <v>0</v>
      </c>
      <c r="Y61" s="221">
        <v>0</v>
      </c>
      <c r="Z61" s="221">
        <v>24.5</v>
      </c>
      <c r="AA61" s="221">
        <v>22.3</v>
      </c>
      <c r="AB61" s="221">
        <v>21.3</v>
      </c>
      <c r="AC61" s="221">
        <v>21.5</v>
      </c>
      <c r="AD61" s="221">
        <v>22.4</v>
      </c>
      <c r="AE61" s="221">
        <v>20.5</v>
      </c>
      <c r="AF61" s="221">
        <v>2.8</v>
      </c>
      <c r="AG61" s="230"/>
      <c r="AH61" s="226">
        <f t="shared" si="2"/>
        <v>24.5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-385</v>
      </c>
      <c r="C63" s="245">
        <v>-380</v>
      </c>
      <c r="D63" s="245">
        <v>-440</v>
      </c>
      <c r="E63" s="245">
        <v>-410</v>
      </c>
      <c r="F63" s="245">
        <v>-440</v>
      </c>
      <c r="G63" s="245">
        <v>-438</v>
      </c>
      <c r="H63" s="245">
        <v>-420</v>
      </c>
      <c r="I63" s="245">
        <v>-440</v>
      </c>
      <c r="J63" s="245">
        <v>-412</v>
      </c>
      <c r="K63" s="245">
        <v>-412</v>
      </c>
      <c r="L63" s="245">
        <v>-380</v>
      </c>
      <c r="M63" s="245">
        <v>-418</v>
      </c>
      <c r="N63" s="245">
        <v>-404</v>
      </c>
      <c r="O63" s="245">
        <v>-398</v>
      </c>
      <c r="P63" s="245">
        <v>-368</v>
      </c>
      <c r="Q63" s="245">
        <v>-355</v>
      </c>
      <c r="R63" s="245">
        <v>-348</v>
      </c>
      <c r="S63" s="245">
        <v>-313.3</v>
      </c>
      <c r="T63" s="245">
        <v>-293</v>
      </c>
      <c r="U63" s="245">
        <v>-394</v>
      </c>
      <c r="V63" s="245">
        <v>-380</v>
      </c>
      <c r="W63" s="245">
        <v>-335</v>
      </c>
      <c r="X63" s="245">
        <v>-281.39999999999998</v>
      </c>
      <c r="Y63" s="245">
        <v>-252</v>
      </c>
      <c r="Z63" s="245">
        <v>-296</v>
      </c>
      <c r="AA63" s="245">
        <v>-306</v>
      </c>
      <c r="AB63" s="245">
        <v>-300</v>
      </c>
      <c r="AC63" s="245">
        <v>-338.9</v>
      </c>
      <c r="AD63" s="245">
        <v>-318.3</v>
      </c>
      <c r="AE63" s="245">
        <v>-332.6</v>
      </c>
      <c r="AF63" s="245">
        <v>-340.2</v>
      </c>
      <c r="AG63" s="255"/>
      <c r="AH63" s="226">
        <f t="shared" si="2"/>
        <v>-252</v>
      </c>
      <c r="AI63" s="227">
        <f t="shared" si="3"/>
        <v>-440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8">SUMIF(C61:C71,"&gt;0")</f>
        <v>0</v>
      </c>
      <c r="D72" s="241">
        <f t="shared" si="8"/>
        <v>0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0</v>
      </c>
      <c r="S72" s="241">
        <f t="shared" si="9"/>
        <v>10.7</v>
      </c>
      <c r="T72" s="241">
        <f t="shared" si="9"/>
        <v>4.5</v>
      </c>
      <c r="U72" s="241">
        <f t="shared" si="9"/>
        <v>18</v>
      </c>
      <c r="V72" s="241">
        <f t="shared" si="9"/>
        <v>17.399999999999999</v>
      </c>
      <c r="W72" s="241">
        <f t="shared" si="9"/>
        <v>17.399999999999999</v>
      </c>
      <c r="X72" s="241">
        <f t="shared" si="9"/>
        <v>0</v>
      </c>
      <c r="Y72" s="241">
        <f t="shared" si="9"/>
        <v>0</v>
      </c>
      <c r="Z72" s="241">
        <f t="shared" si="9"/>
        <v>24.5</v>
      </c>
      <c r="AA72" s="241">
        <f t="shared" si="9"/>
        <v>22.3</v>
      </c>
      <c r="AB72" s="241">
        <f t="shared" si="9"/>
        <v>21.3</v>
      </c>
      <c r="AC72" s="241">
        <f t="shared" si="9"/>
        <v>21.5</v>
      </c>
      <c r="AD72" s="241">
        <f t="shared" si="9"/>
        <v>22.4</v>
      </c>
      <c r="AE72" s="241">
        <f t="shared" si="9"/>
        <v>20.5</v>
      </c>
      <c r="AF72" s="241">
        <f t="shared" si="9"/>
        <v>2.8</v>
      </c>
      <c r="AG72" s="261">
        <f>SUM(AG61:AG71)</f>
        <v>0</v>
      </c>
      <c r="AH72" s="226">
        <f t="shared" si="2"/>
        <v>24.5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1732.4399999999998</v>
      </c>
      <c r="C77" s="263">
        <f t="shared" ref="C77:AF77" si="10">C38+C42+C60+C56+C72+C76</f>
        <v>1718.24</v>
      </c>
      <c r="D77" s="263">
        <f t="shared" si="10"/>
        <v>1718.24</v>
      </c>
      <c r="E77" s="263">
        <f t="shared" si="10"/>
        <v>1671.3400000000001</v>
      </c>
      <c r="F77" s="263">
        <f t="shared" si="10"/>
        <v>1671.3400000000001</v>
      </c>
      <c r="G77" s="263">
        <f t="shared" si="10"/>
        <v>1674.3400000000001</v>
      </c>
      <c r="H77" s="263">
        <f t="shared" si="10"/>
        <v>1647.8000000000002</v>
      </c>
      <c r="I77" s="263">
        <f t="shared" si="10"/>
        <v>1647.3400000000001</v>
      </c>
      <c r="J77" s="263">
        <f t="shared" si="10"/>
        <v>1659.3400000000001</v>
      </c>
      <c r="K77" s="263">
        <f t="shared" si="10"/>
        <v>1708.3400000000001</v>
      </c>
      <c r="L77" s="263">
        <f t="shared" si="10"/>
        <v>1715.3400000000001</v>
      </c>
      <c r="M77" s="263">
        <f t="shared" si="10"/>
        <v>1737.24</v>
      </c>
      <c r="N77" s="263">
        <f t="shared" si="10"/>
        <v>1735.34</v>
      </c>
      <c r="O77" s="263">
        <f t="shared" si="10"/>
        <v>1710.24</v>
      </c>
      <c r="P77" s="263">
        <f t="shared" si="10"/>
        <v>1625.54</v>
      </c>
      <c r="Q77" s="263">
        <f t="shared" si="10"/>
        <v>1644.14</v>
      </c>
      <c r="R77" s="263">
        <f t="shared" si="10"/>
        <v>1649.54</v>
      </c>
      <c r="S77" s="263">
        <f t="shared" si="10"/>
        <v>1670.24</v>
      </c>
      <c r="T77" s="263">
        <f t="shared" si="10"/>
        <v>1787.74</v>
      </c>
      <c r="U77" s="263">
        <f t="shared" si="10"/>
        <v>1809.44</v>
      </c>
      <c r="V77" s="263">
        <f t="shared" si="10"/>
        <v>1765.3400000000001</v>
      </c>
      <c r="W77" s="263">
        <f t="shared" si="10"/>
        <v>1765.3400000000001</v>
      </c>
      <c r="X77" s="263">
        <f t="shared" si="10"/>
        <v>1782.74</v>
      </c>
      <c r="Y77" s="263">
        <f t="shared" si="10"/>
        <v>1795.94</v>
      </c>
      <c r="Z77" s="263">
        <f t="shared" si="10"/>
        <v>1900.44</v>
      </c>
      <c r="AA77" s="263">
        <f t="shared" si="10"/>
        <v>1872.24</v>
      </c>
      <c r="AB77" s="263">
        <f t="shared" si="10"/>
        <v>1858.74</v>
      </c>
      <c r="AC77" s="263">
        <f t="shared" si="10"/>
        <v>1882.44</v>
      </c>
      <c r="AD77" s="263">
        <f t="shared" si="10"/>
        <v>1818.44</v>
      </c>
      <c r="AE77" s="263">
        <f t="shared" si="10"/>
        <v>1772.54</v>
      </c>
      <c r="AF77" s="263">
        <f t="shared" si="10"/>
        <v>1712.34</v>
      </c>
      <c r="AG77" s="242">
        <f>AG38+AG42+AG60+AG56+AG72+AG76</f>
        <v>1855.1900000000003</v>
      </c>
      <c r="AH77" s="226">
        <f t="shared" si="2"/>
        <v>1900.44</v>
      </c>
      <c r="AI77" s="227">
        <f t="shared" si="3"/>
        <v>1625.54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1732.4399999999998</v>
      </c>
      <c r="C79" s="263">
        <f t="shared" ref="C79:AF79" si="11">C77+C78</f>
        <v>1718.24</v>
      </c>
      <c r="D79" s="263">
        <f t="shared" si="11"/>
        <v>1718.24</v>
      </c>
      <c r="E79" s="263">
        <f t="shared" si="11"/>
        <v>1671.3400000000001</v>
      </c>
      <c r="F79" s="263">
        <f t="shared" si="11"/>
        <v>1671.3400000000001</v>
      </c>
      <c r="G79" s="263">
        <f t="shared" si="11"/>
        <v>1674.3400000000001</v>
      </c>
      <c r="H79" s="263">
        <f t="shared" si="11"/>
        <v>1647.8000000000002</v>
      </c>
      <c r="I79" s="263">
        <f t="shared" si="11"/>
        <v>1647.3400000000001</v>
      </c>
      <c r="J79" s="263">
        <f t="shared" si="11"/>
        <v>1659.3400000000001</v>
      </c>
      <c r="K79" s="263">
        <f t="shared" si="11"/>
        <v>1708.3400000000001</v>
      </c>
      <c r="L79" s="263">
        <f t="shared" si="11"/>
        <v>1715.3400000000001</v>
      </c>
      <c r="M79" s="263">
        <f t="shared" si="11"/>
        <v>1737.24</v>
      </c>
      <c r="N79" s="263">
        <f t="shared" si="11"/>
        <v>1735.34</v>
      </c>
      <c r="O79" s="263">
        <f t="shared" si="11"/>
        <v>1710.24</v>
      </c>
      <c r="P79" s="263">
        <f t="shared" si="11"/>
        <v>1625.54</v>
      </c>
      <c r="Q79" s="263">
        <f t="shared" si="11"/>
        <v>1644.14</v>
      </c>
      <c r="R79" s="263">
        <f t="shared" si="11"/>
        <v>1649.54</v>
      </c>
      <c r="S79" s="263">
        <f t="shared" si="11"/>
        <v>1670.24</v>
      </c>
      <c r="T79" s="263">
        <f t="shared" si="11"/>
        <v>1787.74</v>
      </c>
      <c r="U79" s="263">
        <f t="shared" si="11"/>
        <v>1809.44</v>
      </c>
      <c r="V79" s="263">
        <f t="shared" si="11"/>
        <v>1765.3400000000001</v>
      </c>
      <c r="W79" s="263">
        <f t="shared" si="11"/>
        <v>1765.3400000000001</v>
      </c>
      <c r="X79" s="263">
        <f t="shared" si="11"/>
        <v>1782.74</v>
      </c>
      <c r="Y79" s="263">
        <f t="shared" si="11"/>
        <v>1795.94</v>
      </c>
      <c r="Z79" s="263">
        <f t="shared" si="11"/>
        <v>1900.44</v>
      </c>
      <c r="AA79" s="263">
        <f t="shared" si="11"/>
        <v>1872.24</v>
      </c>
      <c r="AB79" s="263">
        <f t="shared" si="11"/>
        <v>1858.74</v>
      </c>
      <c r="AC79" s="263">
        <f t="shared" si="11"/>
        <v>1882.44</v>
      </c>
      <c r="AD79" s="263">
        <f t="shared" si="11"/>
        <v>1818.44</v>
      </c>
      <c r="AE79" s="263">
        <f t="shared" si="11"/>
        <v>1772.54</v>
      </c>
      <c r="AF79" s="263">
        <f t="shared" si="11"/>
        <v>1712.34</v>
      </c>
      <c r="AG79" s="261">
        <f>AG76+AG72+AG60+AG56+AG38+AG78</f>
        <v>1317.0900000000001</v>
      </c>
      <c r="AH79" s="226">
        <f t="shared" si="2"/>
        <v>1900.44</v>
      </c>
      <c r="AI79" s="227">
        <f t="shared" si="3"/>
        <v>1625.54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1347.4399999999998</v>
      </c>
      <c r="C80" s="263">
        <f t="shared" si="12"/>
        <v>1338.24</v>
      </c>
      <c r="D80" s="263">
        <f t="shared" si="12"/>
        <v>1278.24</v>
      </c>
      <c r="E80" s="263">
        <f t="shared" si="12"/>
        <v>1261.3400000000001</v>
      </c>
      <c r="F80" s="263">
        <f t="shared" si="12"/>
        <v>1231.3400000000001</v>
      </c>
      <c r="G80" s="263">
        <f t="shared" si="12"/>
        <v>1236.3400000000001</v>
      </c>
      <c r="H80" s="263">
        <f t="shared" si="12"/>
        <v>1227.8000000000002</v>
      </c>
      <c r="I80" s="263">
        <f t="shared" si="12"/>
        <v>1207.3400000000001</v>
      </c>
      <c r="J80" s="263">
        <f t="shared" si="12"/>
        <v>1247.3400000000001</v>
      </c>
      <c r="K80" s="263">
        <f t="shared" si="12"/>
        <v>1296.3400000000001</v>
      </c>
      <c r="L80" s="263">
        <f t="shared" si="12"/>
        <v>1335.3400000000001</v>
      </c>
      <c r="M80" s="263">
        <f t="shared" si="12"/>
        <v>1319.24</v>
      </c>
      <c r="N80" s="263">
        <f t="shared" si="12"/>
        <v>1331.34</v>
      </c>
      <c r="O80" s="263">
        <f t="shared" si="12"/>
        <v>1312.24</v>
      </c>
      <c r="P80" s="263">
        <f t="shared" si="12"/>
        <v>1257.54</v>
      </c>
      <c r="Q80" s="263">
        <f t="shared" si="12"/>
        <v>1289.1400000000001</v>
      </c>
      <c r="R80" s="263">
        <f t="shared" si="12"/>
        <v>1301.54</v>
      </c>
      <c r="S80" s="263">
        <f t="shared" si="12"/>
        <v>1356.94</v>
      </c>
      <c r="T80" s="263">
        <f t="shared" si="12"/>
        <v>1494.74</v>
      </c>
      <c r="U80" s="263">
        <f t="shared" si="12"/>
        <v>1415.44</v>
      </c>
      <c r="V80" s="263">
        <f t="shared" si="12"/>
        <v>1385.3400000000001</v>
      </c>
      <c r="W80" s="263">
        <f t="shared" si="12"/>
        <v>1430.3400000000001</v>
      </c>
      <c r="X80" s="263">
        <f t="shared" si="12"/>
        <v>1501.3400000000001</v>
      </c>
      <c r="Y80" s="263">
        <f t="shared" si="12"/>
        <v>1543.94</v>
      </c>
      <c r="Z80" s="263">
        <f t="shared" si="12"/>
        <v>1604.44</v>
      </c>
      <c r="AA80" s="263">
        <f t="shared" si="12"/>
        <v>1566.24</v>
      </c>
      <c r="AB80" s="263">
        <f t="shared" si="12"/>
        <v>1558.74</v>
      </c>
      <c r="AC80" s="263">
        <f t="shared" si="12"/>
        <v>1543.54</v>
      </c>
      <c r="AD80" s="263">
        <f t="shared" si="12"/>
        <v>1500.14</v>
      </c>
      <c r="AE80" s="263">
        <f t="shared" si="12"/>
        <v>1439.94</v>
      </c>
      <c r="AF80" s="263">
        <f t="shared" si="12"/>
        <v>1372.1399999999999</v>
      </c>
      <c r="AG80" s="261"/>
      <c r="AH80" s="226">
        <f t="shared" ref="AH80:AH97" si="13">MAX(B80:AF80)</f>
        <v>1604.44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385</v>
      </c>
      <c r="C84" s="256">
        <f t="shared" ref="C84:AF84" si="18">IF(C63&lt;0,C63*-1,0)</f>
        <v>380</v>
      </c>
      <c r="D84" s="256">
        <f t="shared" si="18"/>
        <v>440</v>
      </c>
      <c r="E84" s="256">
        <f t="shared" si="18"/>
        <v>410</v>
      </c>
      <c r="F84" s="256">
        <f t="shared" si="18"/>
        <v>440</v>
      </c>
      <c r="G84" s="256">
        <f t="shared" si="18"/>
        <v>438</v>
      </c>
      <c r="H84" s="256">
        <f t="shared" si="18"/>
        <v>420</v>
      </c>
      <c r="I84" s="256">
        <f t="shared" si="18"/>
        <v>440</v>
      </c>
      <c r="J84" s="256">
        <f t="shared" si="18"/>
        <v>412</v>
      </c>
      <c r="K84" s="256">
        <f t="shared" si="18"/>
        <v>412</v>
      </c>
      <c r="L84" s="256">
        <f t="shared" si="18"/>
        <v>380</v>
      </c>
      <c r="M84" s="256">
        <f t="shared" si="18"/>
        <v>418</v>
      </c>
      <c r="N84" s="256">
        <f t="shared" si="18"/>
        <v>404</v>
      </c>
      <c r="O84" s="256">
        <f t="shared" si="18"/>
        <v>398</v>
      </c>
      <c r="P84" s="256">
        <f t="shared" si="18"/>
        <v>368</v>
      </c>
      <c r="Q84" s="256">
        <f t="shared" si="18"/>
        <v>355</v>
      </c>
      <c r="R84" s="256">
        <f t="shared" si="18"/>
        <v>348</v>
      </c>
      <c r="S84" s="256">
        <f t="shared" si="18"/>
        <v>313.3</v>
      </c>
      <c r="T84" s="256">
        <f t="shared" si="18"/>
        <v>293</v>
      </c>
      <c r="U84" s="256">
        <f t="shared" si="18"/>
        <v>394</v>
      </c>
      <c r="V84" s="256">
        <f t="shared" si="18"/>
        <v>380</v>
      </c>
      <c r="W84" s="256">
        <f t="shared" si="18"/>
        <v>335</v>
      </c>
      <c r="X84" s="256">
        <f t="shared" si="18"/>
        <v>281.39999999999998</v>
      </c>
      <c r="Y84" s="256">
        <f t="shared" si="18"/>
        <v>252</v>
      </c>
      <c r="Z84" s="256">
        <f t="shared" si="18"/>
        <v>296</v>
      </c>
      <c r="AA84" s="256">
        <f t="shared" si="18"/>
        <v>306</v>
      </c>
      <c r="AB84" s="256">
        <f t="shared" si="18"/>
        <v>300</v>
      </c>
      <c r="AC84" s="256">
        <f t="shared" si="18"/>
        <v>338.9</v>
      </c>
      <c r="AD84" s="256">
        <f t="shared" si="18"/>
        <v>318.3</v>
      </c>
      <c r="AE84" s="256">
        <f t="shared" si="18"/>
        <v>332.6</v>
      </c>
      <c r="AF84" s="256">
        <f t="shared" si="18"/>
        <v>340.2</v>
      </c>
      <c r="AG84" s="266"/>
      <c r="AH84" s="226">
        <f t="shared" si="13"/>
        <v>440</v>
      </c>
      <c r="AI84" s="227">
        <f t="shared" si="15"/>
        <v>252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385</v>
      </c>
      <c r="C87" s="241">
        <f t="shared" ref="C87:AF87" si="20">SUM(C81:C86)</f>
        <v>380</v>
      </c>
      <c r="D87" s="241">
        <f t="shared" si="20"/>
        <v>440</v>
      </c>
      <c r="E87" s="241">
        <f t="shared" si="20"/>
        <v>410</v>
      </c>
      <c r="F87" s="241">
        <f t="shared" si="20"/>
        <v>440</v>
      </c>
      <c r="G87" s="241">
        <f t="shared" si="20"/>
        <v>438</v>
      </c>
      <c r="H87" s="241">
        <f t="shared" si="20"/>
        <v>420</v>
      </c>
      <c r="I87" s="241">
        <f t="shared" si="20"/>
        <v>440</v>
      </c>
      <c r="J87" s="241">
        <f t="shared" si="20"/>
        <v>412</v>
      </c>
      <c r="K87" s="241">
        <f t="shared" si="20"/>
        <v>412</v>
      </c>
      <c r="L87" s="241">
        <f t="shared" si="20"/>
        <v>380</v>
      </c>
      <c r="M87" s="241">
        <f t="shared" si="20"/>
        <v>418</v>
      </c>
      <c r="N87" s="241">
        <f t="shared" si="20"/>
        <v>404</v>
      </c>
      <c r="O87" s="241">
        <f t="shared" si="20"/>
        <v>398</v>
      </c>
      <c r="P87" s="241">
        <f t="shared" si="20"/>
        <v>368</v>
      </c>
      <c r="Q87" s="241">
        <f t="shared" si="20"/>
        <v>355</v>
      </c>
      <c r="R87" s="241">
        <f t="shared" si="20"/>
        <v>348</v>
      </c>
      <c r="S87" s="241">
        <f t="shared" si="20"/>
        <v>313.3</v>
      </c>
      <c r="T87" s="241">
        <f t="shared" si="20"/>
        <v>293</v>
      </c>
      <c r="U87" s="241">
        <f t="shared" si="20"/>
        <v>394</v>
      </c>
      <c r="V87" s="241">
        <f t="shared" si="20"/>
        <v>380</v>
      </c>
      <c r="W87" s="241">
        <f t="shared" si="20"/>
        <v>335</v>
      </c>
      <c r="X87" s="241">
        <f t="shared" si="20"/>
        <v>281.39999999999998</v>
      </c>
      <c r="Y87" s="241">
        <f t="shared" si="20"/>
        <v>252</v>
      </c>
      <c r="Z87" s="241">
        <f t="shared" si="20"/>
        <v>296</v>
      </c>
      <c r="AA87" s="241">
        <f t="shared" si="20"/>
        <v>306</v>
      </c>
      <c r="AB87" s="241">
        <f t="shared" si="20"/>
        <v>300</v>
      </c>
      <c r="AC87" s="241">
        <f t="shared" si="20"/>
        <v>338.9</v>
      </c>
      <c r="AD87" s="241">
        <f t="shared" si="20"/>
        <v>318.3</v>
      </c>
      <c r="AE87" s="241">
        <f t="shared" si="20"/>
        <v>332.6</v>
      </c>
      <c r="AF87" s="241">
        <f t="shared" si="20"/>
        <v>340.2</v>
      </c>
      <c r="AG87" s="261"/>
      <c r="AH87" s="226">
        <f t="shared" si="13"/>
        <v>440</v>
      </c>
      <c r="AI87" s="227">
        <f t="shared" si="15"/>
        <v>252</v>
      </c>
      <c r="AK87" s="228"/>
    </row>
    <row r="88" spans="1:88" s="175" customFormat="1" ht="15.75" thickBot="1" x14ac:dyDescent="0.3">
      <c r="A88" s="254" t="s">
        <v>93</v>
      </c>
      <c r="B88" s="241">
        <f>B72-B87</f>
        <v>-385</v>
      </c>
      <c r="C88" s="241">
        <f t="shared" ref="C88:AF88" si="21">C72-C87</f>
        <v>-380</v>
      </c>
      <c r="D88" s="241">
        <f t="shared" si="21"/>
        <v>-440</v>
      </c>
      <c r="E88" s="241">
        <f t="shared" si="21"/>
        <v>-410</v>
      </c>
      <c r="F88" s="241">
        <f t="shared" si="21"/>
        <v>-440</v>
      </c>
      <c r="G88" s="241">
        <f t="shared" si="21"/>
        <v>-438</v>
      </c>
      <c r="H88" s="241">
        <f t="shared" si="21"/>
        <v>-420</v>
      </c>
      <c r="I88" s="241">
        <f t="shared" si="21"/>
        <v>-440</v>
      </c>
      <c r="J88" s="241">
        <f t="shared" si="21"/>
        <v>-412</v>
      </c>
      <c r="K88" s="241">
        <f t="shared" si="21"/>
        <v>-412</v>
      </c>
      <c r="L88" s="241">
        <f t="shared" si="21"/>
        <v>-380</v>
      </c>
      <c r="M88" s="241">
        <f t="shared" si="21"/>
        <v>-418</v>
      </c>
      <c r="N88" s="241">
        <f t="shared" si="21"/>
        <v>-404</v>
      </c>
      <c r="O88" s="241">
        <f t="shared" si="21"/>
        <v>-398</v>
      </c>
      <c r="P88" s="241">
        <f t="shared" si="21"/>
        <v>-368</v>
      </c>
      <c r="Q88" s="241">
        <f t="shared" si="21"/>
        <v>-355</v>
      </c>
      <c r="R88" s="241">
        <f t="shared" si="21"/>
        <v>-348</v>
      </c>
      <c r="S88" s="241">
        <f t="shared" si="21"/>
        <v>-302.60000000000002</v>
      </c>
      <c r="T88" s="241">
        <f t="shared" si="21"/>
        <v>-288.5</v>
      </c>
      <c r="U88" s="241">
        <f t="shared" si="21"/>
        <v>-376</v>
      </c>
      <c r="V88" s="241">
        <f t="shared" si="21"/>
        <v>-362.6</v>
      </c>
      <c r="W88" s="241">
        <f t="shared" si="21"/>
        <v>-317.60000000000002</v>
      </c>
      <c r="X88" s="241">
        <f t="shared" si="21"/>
        <v>-281.39999999999998</v>
      </c>
      <c r="Y88" s="241">
        <f t="shared" si="21"/>
        <v>-252</v>
      </c>
      <c r="Z88" s="241">
        <f t="shared" si="21"/>
        <v>-271.5</v>
      </c>
      <c r="AA88" s="241">
        <f t="shared" si="21"/>
        <v>-283.7</v>
      </c>
      <c r="AB88" s="241">
        <f t="shared" si="21"/>
        <v>-278.7</v>
      </c>
      <c r="AC88" s="241">
        <f t="shared" si="21"/>
        <v>-317.39999999999998</v>
      </c>
      <c r="AD88" s="241">
        <f t="shared" si="21"/>
        <v>-295.90000000000003</v>
      </c>
      <c r="AE88" s="241">
        <f t="shared" si="21"/>
        <v>-312.10000000000002</v>
      </c>
      <c r="AF88" s="241">
        <f t="shared" si="21"/>
        <v>-337.4</v>
      </c>
      <c r="AG88" s="261"/>
      <c r="AH88" s="226">
        <f t="shared" si="13"/>
        <v>-252</v>
      </c>
      <c r="AI88" s="227">
        <f t="shared" si="15"/>
        <v>-440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</v>
      </c>
      <c r="C89" s="269">
        <v>50.03</v>
      </c>
      <c r="D89" s="269">
        <v>50</v>
      </c>
      <c r="E89" s="269">
        <v>50.01</v>
      </c>
      <c r="F89" s="269">
        <v>50.01</v>
      </c>
      <c r="G89" s="269">
        <v>50.01</v>
      </c>
      <c r="H89" s="269">
        <v>49.932000000000002</v>
      </c>
      <c r="I89" s="269">
        <v>50.045000000000002</v>
      </c>
      <c r="J89" s="269">
        <v>49.881</v>
      </c>
      <c r="K89" s="269">
        <v>49.881</v>
      </c>
      <c r="L89" s="269">
        <v>49.881</v>
      </c>
      <c r="M89" s="269">
        <v>50.02</v>
      </c>
      <c r="N89" s="269">
        <v>50.03</v>
      </c>
      <c r="O89" s="269">
        <v>50</v>
      </c>
      <c r="P89" s="269">
        <v>50.01</v>
      </c>
      <c r="Q89" s="269">
        <v>49.97</v>
      </c>
      <c r="R89" s="269">
        <v>49.917000000000002</v>
      </c>
      <c r="S89" s="269">
        <v>50.072000000000003</v>
      </c>
      <c r="T89" s="269">
        <v>49.901000000000003</v>
      </c>
      <c r="U89" s="269">
        <v>49.97</v>
      </c>
      <c r="V89" s="269">
        <v>50.017000000000003</v>
      </c>
      <c r="W89" s="269">
        <v>49.991</v>
      </c>
      <c r="X89" s="269">
        <v>50.012999999999998</v>
      </c>
      <c r="Y89" s="269">
        <v>50.051000000000002</v>
      </c>
      <c r="Z89" s="269">
        <v>49.814999999999998</v>
      </c>
      <c r="AA89" s="269">
        <v>49.814999999999998</v>
      </c>
      <c r="AB89" s="269">
        <v>49.89</v>
      </c>
      <c r="AC89" s="269">
        <v>49.973999999999997</v>
      </c>
      <c r="AD89" s="269">
        <v>50.02</v>
      </c>
      <c r="AE89" s="269">
        <v>50</v>
      </c>
      <c r="AF89" s="269">
        <v>50.02</v>
      </c>
      <c r="AG89" s="270"/>
      <c r="AH89" s="226">
        <f t="shared" si="13"/>
        <v>50.072000000000003</v>
      </c>
      <c r="AI89" s="227">
        <f t="shared" si="15"/>
        <v>49.814999999999998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124</v>
      </c>
      <c r="C90" s="245">
        <v>124</v>
      </c>
      <c r="D90" s="245">
        <v>124</v>
      </c>
      <c r="E90" s="245">
        <v>126</v>
      </c>
      <c r="F90" s="245">
        <v>126</v>
      </c>
      <c r="G90" s="245">
        <v>126</v>
      </c>
      <c r="H90" s="245">
        <v>126</v>
      </c>
      <c r="I90" s="245">
        <v>126</v>
      </c>
      <c r="J90" s="245">
        <v>125</v>
      </c>
      <c r="K90" s="245">
        <v>125</v>
      </c>
      <c r="L90" s="245">
        <v>125</v>
      </c>
      <c r="M90" s="245">
        <v>124.4</v>
      </c>
      <c r="N90" s="245">
        <v>124.4</v>
      </c>
      <c r="O90" s="245">
        <v>121.9</v>
      </c>
      <c r="P90" s="245">
        <v>124.1</v>
      </c>
      <c r="Q90" s="245">
        <v>123.9</v>
      </c>
      <c r="R90" s="245">
        <v>123.9</v>
      </c>
      <c r="S90" s="245">
        <v>123.2</v>
      </c>
      <c r="T90" s="245">
        <v>124</v>
      </c>
      <c r="U90" s="245">
        <v>125.7</v>
      </c>
      <c r="V90" s="245">
        <v>125.2</v>
      </c>
      <c r="W90" s="245">
        <v>125.5</v>
      </c>
      <c r="X90" s="245">
        <v>125.3</v>
      </c>
      <c r="Y90" s="245">
        <v>124</v>
      </c>
      <c r="Z90" s="245">
        <v>127.3</v>
      </c>
      <c r="AA90" s="245">
        <v>127.3</v>
      </c>
      <c r="AB90" s="245">
        <v>125.5</v>
      </c>
      <c r="AC90" s="245">
        <v>125.1</v>
      </c>
      <c r="AD90" s="245">
        <v>125.3</v>
      </c>
      <c r="AE90" s="245">
        <v>125.1</v>
      </c>
      <c r="AF90" s="245">
        <v>124.7</v>
      </c>
      <c r="AG90" s="272"/>
      <c r="AH90" s="226">
        <f t="shared" si="13"/>
        <v>127.3</v>
      </c>
      <c r="AI90" s="227">
        <f t="shared" si="15"/>
        <v>121.9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</v>
      </c>
      <c r="C91" s="245">
        <v>128</v>
      </c>
      <c r="D91" s="245">
        <v>128</v>
      </c>
      <c r="E91" s="245">
        <v>130</v>
      </c>
      <c r="F91" s="245">
        <v>130</v>
      </c>
      <c r="G91" s="245">
        <v>130</v>
      </c>
      <c r="H91" s="245">
        <v>130</v>
      </c>
      <c r="I91" s="245">
        <v>130</v>
      </c>
      <c r="J91" s="245">
        <v>128</v>
      </c>
      <c r="K91" s="245">
        <v>128</v>
      </c>
      <c r="L91" s="245">
        <v>128</v>
      </c>
      <c r="M91" s="245">
        <v>127.5</v>
      </c>
      <c r="N91" s="245">
        <v>127.5</v>
      </c>
      <c r="O91" s="245">
        <v>125.4</v>
      </c>
      <c r="P91" s="245">
        <v>126.8</v>
      </c>
      <c r="Q91" s="245">
        <v>127.1</v>
      </c>
      <c r="R91" s="245">
        <v>127.1</v>
      </c>
      <c r="S91" s="245">
        <v>126.5</v>
      </c>
      <c r="T91" s="245">
        <v>127</v>
      </c>
      <c r="U91" s="245">
        <v>128</v>
      </c>
      <c r="V91" s="245">
        <v>127.9</v>
      </c>
      <c r="W91" s="245">
        <v>128.19999999999999</v>
      </c>
      <c r="X91" s="245">
        <v>127.9</v>
      </c>
      <c r="Y91" s="245">
        <v>126.8</v>
      </c>
      <c r="Z91" s="245">
        <v>129.80000000000001</v>
      </c>
      <c r="AA91" s="245">
        <v>129.80000000000001</v>
      </c>
      <c r="AB91" s="245">
        <v>128.5</v>
      </c>
      <c r="AC91" s="245">
        <v>128.69999999999999</v>
      </c>
      <c r="AD91" s="245">
        <v>128.4</v>
      </c>
      <c r="AE91" s="245">
        <v>128.80000000000001</v>
      </c>
      <c r="AF91" s="245">
        <v>128.6</v>
      </c>
      <c r="AG91" s="272"/>
      <c r="AH91" s="226">
        <f t="shared" si="13"/>
        <v>130</v>
      </c>
      <c r="AI91" s="227">
        <f t="shared" si="15"/>
        <v>125.4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</v>
      </c>
      <c r="C92" s="245">
        <v>130</v>
      </c>
      <c r="D92" s="245">
        <v>130</v>
      </c>
      <c r="E92" s="245">
        <v>132</v>
      </c>
      <c r="F92" s="245">
        <v>132</v>
      </c>
      <c r="G92" s="245">
        <v>132</v>
      </c>
      <c r="H92" s="245">
        <v>132</v>
      </c>
      <c r="I92" s="245">
        <v>129</v>
      </c>
      <c r="J92" s="245">
        <v>129</v>
      </c>
      <c r="K92" s="245">
        <v>129</v>
      </c>
      <c r="L92" s="245">
        <v>129</v>
      </c>
      <c r="M92" s="245">
        <v>128.5</v>
      </c>
      <c r="N92" s="245">
        <v>128.5</v>
      </c>
      <c r="O92" s="245">
        <v>128.1</v>
      </c>
      <c r="P92" s="245">
        <v>0</v>
      </c>
      <c r="Q92" s="245">
        <v>0</v>
      </c>
      <c r="R92" s="245">
        <v>0</v>
      </c>
      <c r="S92" s="245">
        <v>0</v>
      </c>
      <c r="T92" s="245">
        <v>128</v>
      </c>
      <c r="U92" s="245">
        <v>130.5</v>
      </c>
      <c r="V92" s="245">
        <v>131.5</v>
      </c>
      <c r="W92" s="245">
        <v>132.5</v>
      </c>
      <c r="X92" s="245">
        <v>130.30000000000001</v>
      </c>
      <c r="Y92" s="245">
        <v>128.30000000000001</v>
      </c>
      <c r="Z92" s="245">
        <v>129.19999999999999</v>
      </c>
      <c r="AA92" s="245">
        <v>129.19999999999999</v>
      </c>
      <c r="AB92" s="245">
        <v>129.4</v>
      </c>
      <c r="AC92" s="245">
        <v>130.6</v>
      </c>
      <c r="AD92" s="245">
        <v>130.69999999999999</v>
      </c>
      <c r="AE92" s="245">
        <v>130.1</v>
      </c>
      <c r="AF92" s="245">
        <v>131</v>
      </c>
      <c r="AG92" s="272"/>
      <c r="AH92" s="226">
        <f t="shared" si="13"/>
        <v>132.5</v>
      </c>
      <c r="AI92" s="227">
        <f t="shared" si="15"/>
        <v>0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</v>
      </c>
      <c r="C93" s="245">
        <v>133</v>
      </c>
      <c r="D93" s="245">
        <v>133</v>
      </c>
      <c r="E93" s="245">
        <v>135</v>
      </c>
      <c r="F93" s="245">
        <v>135</v>
      </c>
      <c r="G93" s="245">
        <v>135</v>
      </c>
      <c r="H93" s="245">
        <v>135</v>
      </c>
      <c r="I93" s="245">
        <v>133</v>
      </c>
      <c r="J93" s="245">
        <v>133</v>
      </c>
      <c r="K93" s="245">
        <v>133</v>
      </c>
      <c r="L93" s="245">
        <v>133</v>
      </c>
      <c r="M93" s="245">
        <v>131.5</v>
      </c>
      <c r="N93" s="245">
        <v>131.5</v>
      </c>
      <c r="O93" s="245">
        <v>130.4</v>
      </c>
      <c r="P93" s="245">
        <v>0</v>
      </c>
      <c r="Q93" s="245">
        <v>0</v>
      </c>
      <c r="R93" s="245">
        <v>0</v>
      </c>
      <c r="S93" s="245">
        <v>0</v>
      </c>
      <c r="T93" s="245">
        <v>131</v>
      </c>
      <c r="U93" s="245">
        <v>133.30000000000001</v>
      </c>
      <c r="V93" s="245">
        <v>134.30000000000001</v>
      </c>
      <c r="W93" s="245">
        <v>134.6</v>
      </c>
      <c r="X93" s="245">
        <v>133.5</v>
      </c>
      <c r="Y93" s="245">
        <v>131.5</v>
      </c>
      <c r="Z93" s="245">
        <v>132.6</v>
      </c>
      <c r="AA93" s="245">
        <v>132.6</v>
      </c>
      <c r="AB93" s="245">
        <v>133</v>
      </c>
      <c r="AC93" s="245">
        <v>133.80000000000001</v>
      </c>
      <c r="AD93" s="245">
        <v>134.30000000000001</v>
      </c>
      <c r="AE93" s="245">
        <v>132.6</v>
      </c>
      <c r="AF93" s="245">
        <v>133.80000000000001</v>
      </c>
      <c r="AG93" s="272"/>
      <c r="AH93" s="226">
        <f t="shared" si="13"/>
        <v>135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130</v>
      </c>
      <c r="C94" s="274">
        <v>130</v>
      </c>
      <c r="D94" s="274">
        <v>130</v>
      </c>
      <c r="E94" s="274">
        <v>134</v>
      </c>
      <c r="F94" s="274">
        <v>134</v>
      </c>
      <c r="G94" s="274">
        <v>134</v>
      </c>
      <c r="H94" s="274">
        <v>134</v>
      </c>
      <c r="I94" s="274">
        <v>134</v>
      </c>
      <c r="J94" s="274">
        <v>133</v>
      </c>
      <c r="K94" s="274">
        <v>133</v>
      </c>
      <c r="L94" s="274">
        <v>133</v>
      </c>
      <c r="M94" s="274">
        <v>130.80000000000001</v>
      </c>
      <c r="N94" s="274">
        <v>130.80000000000001</v>
      </c>
      <c r="O94" s="274">
        <v>130.1</v>
      </c>
      <c r="P94" s="274">
        <v>130.1</v>
      </c>
      <c r="Q94" s="274">
        <v>134.4</v>
      </c>
      <c r="R94" s="274">
        <v>134.4</v>
      </c>
      <c r="S94" s="274">
        <v>129.80000000000001</v>
      </c>
      <c r="T94" s="274">
        <v>134</v>
      </c>
      <c r="U94" s="274">
        <v>131.6</v>
      </c>
      <c r="V94" s="274">
        <v>132.4</v>
      </c>
      <c r="W94" s="274">
        <v>134.80000000000001</v>
      </c>
      <c r="X94" s="274">
        <v>134.30000000000001</v>
      </c>
      <c r="Y94" s="274">
        <v>130.4</v>
      </c>
      <c r="Z94" s="274">
        <v>133.4</v>
      </c>
      <c r="AA94" s="274">
        <v>133.4</v>
      </c>
      <c r="AB94" s="274">
        <v>134.4</v>
      </c>
      <c r="AC94" s="274">
        <v>132.4</v>
      </c>
      <c r="AD94" s="274">
        <v>131.6</v>
      </c>
      <c r="AE94" s="274">
        <v>133.69999999999999</v>
      </c>
      <c r="AF94" s="274">
        <v>133</v>
      </c>
      <c r="AG94" s="275"/>
      <c r="AH94" s="226">
        <f t="shared" si="13"/>
        <v>134.80000000000001</v>
      </c>
      <c r="AI94" s="227">
        <f t="shared" si="15"/>
        <v>129.80000000000001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127</v>
      </c>
      <c r="C95" s="245">
        <v>127</v>
      </c>
      <c r="D95" s="245">
        <v>127</v>
      </c>
      <c r="E95" s="245">
        <v>133</v>
      </c>
      <c r="F95" s="245">
        <v>133</v>
      </c>
      <c r="G95" s="245">
        <v>133</v>
      </c>
      <c r="H95" s="245">
        <v>133</v>
      </c>
      <c r="I95" s="245">
        <v>131</v>
      </c>
      <c r="J95" s="245">
        <v>132</v>
      </c>
      <c r="K95" s="245">
        <v>132</v>
      </c>
      <c r="L95" s="245">
        <v>132</v>
      </c>
      <c r="M95" s="245">
        <v>130.80000000000001</v>
      </c>
      <c r="N95" s="245">
        <v>130.80000000000001</v>
      </c>
      <c r="O95" s="245">
        <v>128.6</v>
      </c>
      <c r="P95" s="245">
        <v>122.6</v>
      </c>
      <c r="Q95" s="245">
        <v>133.9</v>
      </c>
      <c r="R95" s="245">
        <v>133.9</v>
      </c>
      <c r="S95" s="245">
        <v>122.7</v>
      </c>
      <c r="T95" s="245">
        <v>126.5</v>
      </c>
      <c r="U95" s="245">
        <v>126.3</v>
      </c>
      <c r="V95" s="245">
        <v>126.5</v>
      </c>
      <c r="W95" s="245">
        <v>131.69999999999999</v>
      </c>
      <c r="X95" s="245">
        <v>129.1</v>
      </c>
      <c r="Y95" s="245">
        <v>124.6</v>
      </c>
      <c r="Z95" s="245">
        <v>127.6</v>
      </c>
      <c r="AA95" s="245">
        <v>127.6</v>
      </c>
      <c r="AB95" s="245">
        <v>129.4</v>
      </c>
      <c r="AC95" s="245">
        <v>127.2</v>
      </c>
      <c r="AD95" s="245">
        <v>126.3</v>
      </c>
      <c r="AE95" s="245">
        <v>131.1</v>
      </c>
      <c r="AF95" s="245">
        <v>129.6</v>
      </c>
      <c r="AG95" s="272"/>
      <c r="AH95" s="226">
        <f t="shared" si="13"/>
        <v>133.9</v>
      </c>
      <c r="AI95" s="227">
        <f t="shared" si="15"/>
        <v>122.6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65.099999999999994</v>
      </c>
      <c r="C96" s="276">
        <v>65.099999999999994</v>
      </c>
      <c r="D96" s="276">
        <v>65.099999999999994</v>
      </c>
      <c r="E96" s="276">
        <v>66</v>
      </c>
      <c r="F96" s="276">
        <v>66</v>
      </c>
      <c r="G96" s="276">
        <v>66</v>
      </c>
      <c r="H96" s="276">
        <v>66</v>
      </c>
      <c r="I96" s="276">
        <v>65</v>
      </c>
      <c r="J96" s="276">
        <v>65</v>
      </c>
      <c r="K96" s="276">
        <v>65</v>
      </c>
      <c r="L96" s="276">
        <v>65</v>
      </c>
      <c r="M96" s="276">
        <v>63</v>
      </c>
      <c r="N96" s="276">
        <v>64.599999999999994</v>
      </c>
      <c r="O96" s="276">
        <v>63.2</v>
      </c>
      <c r="P96" s="276">
        <v>63.9</v>
      </c>
      <c r="Q96" s="276">
        <v>64.099999999999994</v>
      </c>
      <c r="R96" s="276">
        <v>64.099999999999994</v>
      </c>
      <c r="S96" s="276">
        <v>63.6</v>
      </c>
      <c r="T96" s="276">
        <v>64.099999999999994</v>
      </c>
      <c r="U96" s="276">
        <v>64.599999999999994</v>
      </c>
      <c r="V96" s="276">
        <v>64.7</v>
      </c>
      <c r="W96" s="276">
        <v>64.8</v>
      </c>
      <c r="X96" s="276">
        <v>64.599999999999994</v>
      </c>
      <c r="Y96" s="276">
        <v>64.2</v>
      </c>
      <c r="Z96" s="276">
        <v>65.599999999999994</v>
      </c>
      <c r="AA96" s="276">
        <v>65.599999999999994</v>
      </c>
      <c r="AB96" s="276">
        <v>65.3</v>
      </c>
      <c r="AC96" s="276">
        <v>65.3</v>
      </c>
      <c r="AD96" s="276">
        <v>65.2</v>
      </c>
      <c r="AE96" s="276">
        <v>65.400000000000006</v>
      </c>
      <c r="AF96" s="276">
        <v>65.2</v>
      </c>
      <c r="AG96" s="277"/>
      <c r="AH96" s="226">
        <f t="shared" si="13"/>
        <v>66</v>
      </c>
      <c r="AI96" s="227">
        <f t="shared" si="15"/>
        <v>63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29.199999999999989</v>
      </c>
      <c r="C98" s="280">
        <f t="shared" si="22"/>
        <v>25.13999999999999</v>
      </c>
      <c r="D98" s="280">
        <f t="shared" si="22"/>
        <v>10.13999999999999</v>
      </c>
      <c r="E98" s="280">
        <f t="shared" si="22"/>
        <v>32.139999999999986</v>
      </c>
      <c r="F98" s="280">
        <f t="shared" si="22"/>
        <v>32.139999999999986</v>
      </c>
      <c r="G98" s="280">
        <f t="shared" si="22"/>
        <v>43.139999999999986</v>
      </c>
      <c r="H98" s="280">
        <f t="shared" si="22"/>
        <v>80.139999999999986</v>
      </c>
      <c r="I98" s="280">
        <f t="shared" si="22"/>
        <v>108.13999999999999</v>
      </c>
      <c r="J98" s="280">
        <f t="shared" si="22"/>
        <v>142.13999999999999</v>
      </c>
      <c r="K98" s="280">
        <f t="shared" si="22"/>
        <v>163.13999999999999</v>
      </c>
      <c r="L98" s="280">
        <f t="shared" si="22"/>
        <v>188.14</v>
      </c>
      <c r="M98" s="280">
        <f t="shared" si="22"/>
        <v>165.14000000000004</v>
      </c>
      <c r="N98" s="280">
        <f t="shared" si="22"/>
        <v>155.94000000000003</v>
      </c>
      <c r="O98" s="280">
        <f t="shared" si="22"/>
        <v>159.54000000000005</v>
      </c>
      <c r="P98" s="280">
        <f t="shared" si="22"/>
        <v>148.84</v>
      </c>
      <c r="Q98" s="280">
        <f t="shared" si="22"/>
        <v>158.1</v>
      </c>
      <c r="R98" s="280">
        <f t="shared" si="22"/>
        <v>154.80000000000001</v>
      </c>
      <c r="S98" s="280">
        <f t="shared" si="22"/>
        <v>205.5</v>
      </c>
      <c r="T98" s="280">
        <f t="shared" si="22"/>
        <v>197.60000000000002</v>
      </c>
      <c r="U98" s="280">
        <f t="shared" si="22"/>
        <v>177.60000000000002</v>
      </c>
      <c r="V98" s="280">
        <f t="shared" si="22"/>
        <v>172.10000000000002</v>
      </c>
      <c r="W98" s="280">
        <f t="shared" si="22"/>
        <v>168.60000000000002</v>
      </c>
      <c r="X98" s="280">
        <f t="shared" si="22"/>
        <v>187.60000000000002</v>
      </c>
      <c r="Y98" s="280">
        <f t="shared" si="22"/>
        <v>240.10000000000002</v>
      </c>
      <c r="Z98" s="280">
        <f t="shared" si="22"/>
        <v>240.1</v>
      </c>
      <c r="AA98" s="280">
        <f t="shared" si="22"/>
        <v>191.8</v>
      </c>
      <c r="AB98" s="280">
        <f t="shared" si="22"/>
        <v>222.3</v>
      </c>
      <c r="AC98" s="280">
        <f t="shared" si="22"/>
        <v>141.70000000000002</v>
      </c>
      <c r="AD98" s="280">
        <f t="shared" si="22"/>
        <v>185.2</v>
      </c>
      <c r="AE98" s="280">
        <f t="shared" si="22"/>
        <v>131.20000000000002</v>
      </c>
      <c r="AF98" s="280">
        <f t="shared" si="22"/>
        <v>95.300000000000011</v>
      </c>
      <c r="AG98" s="281"/>
      <c r="AH98" s="226">
        <f>MAX(C98:AF98)</f>
        <v>240.10000000000002</v>
      </c>
      <c r="AI98" s="227">
        <f>MIN(C98:AF98)</f>
        <v>10.13999999999999</v>
      </c>
    </row>
    <row r="99" spans="1:37" x14ac:dyDescent="0.25">
      <c r="A99" s="268" t="s">
        <v>103</v>
      </c>
      <c r="B99" s="282">
        <v>12</v>
      </c>
      <c r="C99" s="282">
        <v>6</v>
      </c>
      <c r="D99" s="282">
        <v>14</v>
      </c>
      <c r="E99" s="282">
        <v>44</v>
      </c>
      <c r="F99" s="282">
        <v>44</v>
      </c>
      <c r="G99" s="282">
        <v>51</v>
      </c>
      <c r="H99" s="282">
        <v>49</v>
      </c>
      <c r="I99" s="282">
        <f>36+22</f>
        <v>58</v>
      </c>
      <c r="J99" s="282">
        <v>58</v>
      </c>
      <c r="K99" s="282">
        <v>58</v>
      </c>
      <c r="L99" s="282">
        <f>49+37</f>
        <v>86</v>
      </c>
      <c r="M99" s="282">
        <v>38.4</v>
      </c>
      <c r="N99" s="282">
        <v>30</v>
      </c>
      <c r="O99" s="282">
        <v>30.8</v>
      </c>
      <c r="P99" s="282">
        <v>22.1</v>
      </c>
      <c r="Q99" s="282">
        <v>23.6</v>
      </c>
      <c r="R99" s="282">
        <v>22.9</v>
      </c>
      <c r="S99" s="282">
        <v>18.899999999999999</v>
      </c>
      <c r="T99" s="282">
        <v>22.1</v>
      </c>
      <c r="U99" s="282">
        <v>24.6</v>
      </c>
      <c r="V99" s="282">
        <v>27.5</v>
      </c>
      <c r="W99" s="282">
        <v>28</v>
      </c>
      <c r="X99" s="282">
        <v>24.5</v>
      </c>
      <c r="Y99" s="282">
        <v>21.4</v>
      </c>
      <c r="Z99" s="282">
        <v>27.2</v>
      </c>
      <c r="AA99" s="282">
        <v>21</v>
      </c>
      <c r="AB99" s="282">
        <f>35.2+21.3</f>
        <v>56.5</v>
      </c>
      <c r="AC99" s="282">
        <v>20</v>
      </c>
      <c r="AD99" s="282">
        <f>35.5+21</f>
        <v>56.5</v>
      </c>
      <c r="AE99" s="282">
        <f>33.8+19</f>
        <v>52.8</v>
      </c>
      <c r="AF99" s="282">
        <f>34.4+17.6</f>
        <v>52</v>
      </c>
      <c r="AG99" s="283">
        <v>75</v>
      </c>
      <c r="AH99" s="226">
        <f t="shared" ref="AH99:AH106" si="23">IF(ABS(MAX(C99:AF99))&gt;ABS(MIN(C99:AF99)),MAX(C99:AF99),MIN(C99:AF99))</f>
        <v>86</v>
      </c>
      <c r="AI99" s="284">
        <f t="shared" ref="AI99:AI106" si="24">INDEX($C$9:$AF$9,1,MATCH(AH99,C99:AF99,0))</f>
        <v>0.3125</v>
      </c>
    </row>
    <row r="100" spans="1:37" x14ac:dyDescent="0.25">
      <c r="A100" s="271" t="s">
        <v>104</v>
      </c>
      <c r="B100" s="285">
        <v>-146</v>
      </c>
      <c r="C100" s="285">
        <v>-140</v>
      </c>
      <c r="D100" s="285">
        <v>-160</v>
      </c>
      <c r="E100" s="285">
        <v>-150</v>
      </c>
      <c r="F100" s="285">
        <v>-150</v>
      </c>
      <c r="G100" s="285">
        <v>-150</v>
      </c>
      <c r="H100" s="285">
        <v>-108</v>
      </c>
      <c r="I100" s="285">
        <f>-43-46</f>
        <v>-89</v>
      </c>
      <c r="J100" s="285">
        <v>-63</v>
      </c>
      <c r="K100" s="285">
        <v>-63</v>
      </c>
      <c r="L100" s="285">
        <v>-69</v>
      </c>
      <c r="M100" s="285">
        <f>-48.9-48.9</f>
        <v>-97.8</v>
      </c>
      <c r="N100" s="285">
        <v>-98</v>
      </c>
      <c r="O100" s="285">
        <f>-48.4-48.6</f>
        <v>-97</v>
      </c>
      <c r="P100" s="285">
        <f>-42.8-46.1</f>
        <v>-88.9</v>
      </c>
      <c r="Q100" s="285">
        <f>-47.5-51</f>
        <v>-98.5</v>
      </c>
      <c r="R100" s="285">
        <v>-102</v>
      </c>
      <c r="S100" s="285">
        <v>-48.3</v>
      </c>
      <c r="T100" s="285">
        <f>-45-52</f>
        <v>-97</v>
      </c>
      <c r="U100" s="285">
        <f>-47-53</f>
        <v>-100</v>
      </c>
      <c r="V100" s="285">
        <f>-46-49</f>
        <v>-95</v>
      </c>
      <c r="W100" s="285">
        <f>-47-50</f>
        <v>-97</v>
      </c>
      <c r="X100" s="285">
        <f>-44.5-46.7</f>
        <v>-91.2</v>
      </c>
      <c r="Y100" s="285">
        <f>-35-39</f>
        <v>-74</v>
      </c>
      <c r="Z100" s="285">
        <f>-17.4-25.9</f>
        <v>-43.3</v>
      </c>
      <c r="AA100" s="285">
        <f>-41-49.2</f>
        <v>-90.2</v>
      </c>
      <c r="AB100" s="285">
        <f>-42.9-50.7</f>
        <v>-93.6</v>
      </c>
      <c r="AC100" s="285">
        <v>-130</v>
      </c>
      <c r="AD100" s="285">
        <f>-45.7-55.9</f>
        <v>-101.6</v>
      </c>
      <c r="AE100" s="285">
        <f>-60.5-68.2</f>
        <v>-128.69999999999999</v>
      </c>
      <c r="AF100" s="285">
        <f>-72.6-76.9</f>
        <v>-149.5</v>
      </c>
      <c r="AG100" s="283">
        <v>240</v>
      </c>
      <c r="AH100" s="226">
        <f t="shared" si="23"/>
        <v>-160</v>
      </c>
      <c r="AI100" s="284">
        <f t="shared" si="24"/>
        <v>8.3333333333333301E-2</v>
      </c>
    </row>
    <row r="101" spans="1:37" x14ac:dyDescent="0.25">
      <c r="A101" s="271" t="s">
        <v>105</v>
      </c>
      <c r="B101" s="285">
        <v>-5</v>
      </c>
      <c r="C101" s="285">
        <v>-5</v>
      </c>
      <c r="D101" s="285">
        <v>-8</v>
      </c>
      <c r="E101" s="285">
        <v>-11</v>
      </c>
      <c r="F101" s="285">
        <v>-11</v>
      </c>
      <c r="G101" s="285">
        <v>-7</v>
      </c>
      <c r="H101" s="285">
        <v>0</v>
      </c>
      <c r="I101" s="285">
        <v>0</v>
      </c>
      <c r="J101" s="285">
        <v>8</v>
      </c>
      <c r="K101" s="285">
        <v>8</v>
      </c>
      <c r="L101" s="285">
        <v>11</v>
      </c>
      <c r="M101" s="285">
        <v>8.6999999999999993</v>
      </c>
      <c r="N101" s="285">
        <v>5.7</v>
      </c>
      <c r="O101" s="285">
        <v>9.8000000000000007</v>
      </c>
      <c r="P101" s="285">
        <v>8.9</v>
      </c>
      <c r="Q101" s="285">
        <v>8.1</v>
      </c>
      <c r="R101" s="285">
        <v>9.6</v>
      </c>
      <c r="S101" s="285">
        <v>6.1</v>
      </c>
      <c r="T101" s="285">
        <v>29</v>
      </c>
      <c r="U101" s="285">
        <v>23.5</v>
      </c>
      <c r="V101" s="285">
        <v>8.6</v>
      </c>
      <c r="W101" s="285">
        <v>7.3</v>
      </c>
      <c r="X101" s="285">
        <v>7.8</v>
      </c>
      <c r="Y101" s="285">
        <v>30.4</v>
      </c>
      <c r="Z101" s="285">
        <v>44.5</v>
      </c>
      <c r="AA101" s="285">
        <v>29</v>
      </c>
      <c r="AB101" s="285">
        <v>27</v>
      </c>
      <c r="AC101" s="285">
        <v>29.9</v>
      </c>
      <c r="AD101" s="285">
        <v>35.299999999999997</v>
      </c>
      <c r="AE101" s="285">
        <v>12.1</v>
      </c>
      <c r="AF101" s="285">
        <v>-2.5</v>
      </c>
      <c r="AG101" s="283">
        <v>60</v>
      </c>
      <c r="AH101" s="226">
        <f t="shared" si="23"/>
        <v>44.5</v>
      </c>
      <c r="AI101" s="284">
        <f t="shared" si="24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38</v>
      </c>
      <c r="N102" s="287">
        <v>40.4</v>
      </c>
      <c r="O102" s="287">
        <v>38.1</v>
      </c>
      <c r="P102" s="287">
        <v>48.9</v>
      </c>
      <c r="Q102" s="287">
        <v>49.4</v>
      </c>
      <c r="R102" s="287">
        <v>48.8</v>
      </c>
      <c r="S102" s="287">
        <v>45.3</v>
      </c>
      <c r="T102" s="287">
        <v>53.2</v>
      </c>
      <c r="U102" s="287">
        <v>34.200000000000003</v>
      </c>
      <c r="V102" s="287">
        <v>35.700000000000003</v>
      </c>
      <c r="W102" s="287">
        <v>35</v>
      </c>
      <c r="X102" s="287">
        <v>51.2</v>
      </c>
      <c r="Y102" s="287">
        <v>75</v>
      </c>
      <c r="Z102" s="287">
        <v>24.4</v>
      </c>
      <c r="AA102" s="287">
        <v>44.7</v>
      </c>
      <c r="AB102" s="287">
        <v>42.3</v>
      </c>
      <c r="AC102" s="287">
        <v>26.8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75</v>
      </c>
      <c r="AI102" s="284">
        <f t="shared" si="24"/>
        <v>0.77083333333333337</v>
      </c>
    </row>
    <row r="103" spans="1:37" x14ac:dyDescent="0.25">
      <c r="A103" s="286" t="s">
        <v>107</v>
      </c>
      <c r="B103" s="287">
        <v>45</v>
      </c>
      <c r="C103" s="287">
        <v>57</v>
      </c>
      <c r="D103" s="287">
        <v>21</v>
      </c>
      <c r="E103" s="287">
        <v>32</v>
      </c>
      <c r="F103" s="287">
        <v>32</v>
      </c>
      <c r="G103" s="287">
        <v>32</v>
      </c>
      <c r="H103" s="287">
        <v>45</v>
      </c>
      <c r="I103" s="287">
        <v>51</v>
      </c>
      <c r="J103" s="287">
        <v>67</v>
      </c>
      <c r="K103" s="287">
        <v>67</v>
      </c>
      <c r="L103" s="287">
        <v>57</v>
      </c>
      <c r="M103" s="287">
        <v>31</v>
      </c>
      <c r="N103" s="287">
        <v>44</v>
      </c>
      <c r="O103" s="287">
        <v>40.200000000000003</v>
      </c>
      <c r="P103" s="287">
        <v>47.6</v>
      </c>
      <c r="Q103" s="287">
        <v>50.1</v>
      </c>
      <c r="R103" s="287">
        <v>53</v>
      </c>
      <c r="S103" s="287">
        <v>50</v>
      </c>
      <c r="T103" s="287">
        <v>50</v>
      </c>
      <c r="U103" s="287">
        <v>34</v>
      </c>
      <c r="V103" s="287">
        <v>45</v>
      </c>
      <c r="W103" s="287">
        <v>42</v>
      </c>
      <c r="X103" s="287">
        <v>49.1</v>
      </c>
      <c r="Y103" s="287">
        <v>65</v>
      </c>
      <c r="Z103" s="287">
        <v>62.3</v>
      </c>
      <c r="AA103" s="287">
        <v>45.6</v>
      </c>
      <c r="AB103" s="287">
        <v>40.4</v>
      </c>
      <c r="AC103" s="287">
        <v>40</v>
      </c>
      <c r="AD103" s="287">
        <v>34.299999999999997</v>
      </c>
      <c r="AE103" s="287">
        <v>38</v>
      </c>
      <c r="AF103" s="287">
        <v>33.5</v>
      </c>
      <c r="AG103" s="288"/>
      <c r="AH103" s="226">
        <f t="shared" si="23"/>
        <v>67</v>
      </c>
      <c r="AI103" s="284">
        <f t="shared" si="24"/>
        <v>0.27083333333333331</v>
      </c>
    </row>
    <row r="104" spans="1:37" x14ac:dyDescent="0.25">
      <c r="A104" s="286" t="s">
        <v>108</v>
      </c>
      <c r="B104" s="287">
        <v>51</v>
      </c>
      <c r="C104" s="287">
        <v>65</v>
      </c>
      <c r="D104" s="287">
        <v>29</v>
      </c>
      <c r="E104" s="287">
        <v>12</v>
      </c>
      <c r="F104" s="287">
        <v>12</v>
      </c>
      <c r="G104" s="287">
        <v>12</v>
      </c>
      <c r="H104" s="287">
        <v>3</v>
      </c>
      <c r="I104" s="287">
        <v>8</v>
      </c>
      <c r="J104" s="287">
        <v>6</v>
      </c>
      <c r="K104" s="287">
        <v>6</v>
      </c>
      <c r="L104" s="287">
        <v>-12</v>
      </c>
      <c r="M104" s="287">
        <v>-19.8</v>
      </c>
      <c r="N104" s="287">
        <v>8</v>
      </c>
      <c r="O104" s="287">
        <v>8</v>
      </c>
      <c r="P104" s="287">
        <v>37.4</v>
      </c>
      <c r="Q104" s="287">
        <v>20.100000000000001</v>
      </c>
      <c r="R104" s="287">
        <v>21.3</v>
      </c>
      <c r="S104" s="287">
        <v>33.4</v>
      </c>
      <c r="T104" s="287">
        <v>46</v>
      </c>
      <c r="U104" s="287">
        <v>30.6</v>
      </c>
      <c r="V104" s="287">
        <v>38</v>
      </c>
      <c r="W104" s="287">
        <v>30.2</v>
      </c>
      <c r="X104" s="287">
        <v>52.8</v>
      </c>
      <c r="Y104" s="287">
        <v>58.2</v>
      </c>
      <c r="Z104" s="287">
        <v>38</v>
      </c>
      <c r="AA104" s="287">
        <v>47.4</v>
      </c>
      <c r="AB104" s="287">
        <v>45.8</v>
      </c>
      <c r="AC104" s="287">
        <v>49.4</v>
      </c>
      <c r="AD104" s="287">
        <v>49</v>
      </c>
      <c r="AE104" s="287">
        <v>54.1</v>
      </c>
      <c r="AF104" s="287">
        <v>44.9</v>
      </c>
      <c r="AG104" s="289"/>
      <c r="AH104" s="226">
        <f t="shared" si="23"/>
        <v>65</v>
      </c>
      <c r="AI104" s="284">
        <f t="shared" si="24"/>
        <v>4.1666666666666664E-2</v>
      </c>
    </row>
    <row r="105" spans="1:37" x14ac:dyDescent="0.25">
      <c r="A105" s="290" t="s">
        <v>109</v>
      </c>
      <c r="B105" s="274">
        <v>120</v>
      </c>
      <c r="C105" s="274">
        <v>121</v>
      </c>
      <c r="D105" s="274">
        <v>125</v>
      </c>
      <c r="E105" s="274">
        <v>121</v>
      </c>
      <c r="F105" s="274">
        <v>121</v>
      </c>
      <c r="G105" s="274">
        <v>121</v>
      </c>
      <c r="H105" s="274">
        <v>117</v>
      </c>
      <c r="I105" s="274">
        <v>123</v>
      </c>
      <c r="J105" s="274">
        <v>124</v>
      </c>
      <c r="K105" s="274">
        <v>124</v>
      </c>
      <c r="L105" s="274">
        <v>117</v>
      </c>
      <c r="M105" s="274">
        <v>118.9</v>
      </c>
      <c r="N105" s="274">
        <v>119.5</v>
      </c>
      <c r="O105" s="274">
        <v>117</v>
      </c>
      <c r="P105" s="274">
        <v>0</v>
      </c>
      <c r="Q105" s="274">
        <v>0</v>
      </c>
      <c r="R105" s="274">
        <v>0</v>
      </c>
      <c r="S105" s="274">
        <v>0</v>
      </c>
      <c r="T105" s="274">
        <v>60</v>
      </c>
      <c r="U105" s="274">
        <v>115</v>
      </c>
      <c r="V105" s="274">
        <v>114</v>
      </c>
      <c r="W105" s="274">
        <v>111</v>
      </c>
      <c r="X105" s="274">
        <v>105.9</v>
      </c>
      <c r="Y105" s="274">
        <v>99</v>
      </c>
      <c r="Z105" s="274">
        <v>98</v>
      </c>
      <c r="AA105" s="274">
        <v>101</v>
      </c>
      <c r="AB105" s="274">
        <v>101.5</v>
      </c>
      <c r="AC105" s="274">
        <v>102.9</v>
      </c>
      <c r="AD105" s="274">
        <v>108.1</v>
      </c>
      <c r="AE105" s="274">
        <v>115.4</v>
      </c>
      <c r="AF105" s="274">
        <v>120</v>
      </c>
      <c r="AG105" s="289"/>
      <c r="AH105" s="226">
        <f t="shared" si="23"/>
        <v>125</v>
      </c>
      <c r="AI105" s="284">
        <f t="shared" si="24"/>
        <v>8.3333333333333301E-2</v>
      </c>
    </row>
    <row r="106" spans="1:37" ht="15.75" thickBot="1" x14ac:dyDescent="0.3">
      <c r="A106" s="290" t="s">
        <v>110</v>
      </c>
      <c r="B106" s="274">
        <v>98</v>
      </c>
      <c r="C106" s="274">
        <v>95</v>
      </c>
      <c r="D106" s="274"/>
      <c r="E106" s="274">
        <v>100</v>
      </c>
      <c r="F106" s="274">
        <v>105</v>
      </c>
      <c r="G106" s="274">
        <v>95</v>
      </c>
      <c r="H106" s="274">
        <v>75</v>
      </c>
      <c r="I106" s="274">
        <v>58</v>
      </c>
      <c r="J106" s="274">
        <v>46</v>
      </c>
      <c r="K106" s="274">
        <v>46</v>
      </c>
      <c r="L106" s="274">
        <v>54</v>
      </c>
      <c r="M106" s="274">
        <v>72.3</v>
      </c>
      <c r="N106" s="274">
        <v>66.8</v>
      </c>
      <c r="O106" s="274">
        <v>63.3</v>
      </c>
      <c r="P106" s="274">
        <v>56.3</v>
      </c>
      <c r="Q106" s="274">
        <v>60.8</v>
      </c>
      <c r="R106" s="274">
        <v>63.4</v>
      </c>
      <c r="S106" s="274">
        <v>66.5</v>
      </c>
      <c r="T106" s="274">
        <v>68.099999999999994</v>
      </c>
      <c r="U106" s="274">
        <v>74</v>
      </c>
      <c r="V106" s="274">
        <v>60</v>
      </c>
      <c r="W106" s="274">
        <v>60</v>
      </c>
      <c r="X106" s="274">
        <v>53.1</v>
      </c>
      <c r="Y106" s="274">
        <v>48</v>
      </c>
      <c r="Z106" s="274">
        <v>52</v>
      </c>
      <c r="AA106" s="274">
        <v>68.400000000000006</v>
      </c>
      <c r="AB106" s="274">
        <v>70.099999999999994</v>
      </c>
      <c r="AC106" s="274">
        <v>80.900000000000006</v>
      </c>
      <c r="AD106" s="274">
        <v>86.4</v>
      </c>
      <c r="AE106" s="274">
        <v>91.5</v>
      </c>
      <c r="AF106" s="274">
        <v>100.7</v>
      </c>
      <c r="AG106" s="289"/>
      <c r="AH106" s="226">
        <f t="shared" si="23"/>
        <v>105</v>
      </c>
      <c r="AI106" s="284">
        <f t="shared" si="24"/>
        <v>0.16666666666666699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1737.24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17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2079/02/17)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2079/02/17)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1732.4399999999998</v>
      </c>
      <c r="U235" s="343">
        <f t="shared" si="31"/>
        <v>1718.24</v>
      </c>
      <c r="V235" s="343">
        <f t="shared" si="31"/>
        <v>1718.24</v>
      </c>
      <c r="W235" s="343">
        <f t="shared" si="31"/>
        <v>1671.3400000000001</v>
      </c>
      <c r="X235" s="343">
        <f t="shared" si="31"/>
        <v>1671.3400000000001</v>
      </c>
      <c r="Y235" s="343">
        <f t="shared" si="31"/>
        <v>1674.3400000000001</v>
      </c>
      <c r="Z235" s="343">
        <f t="shared" si="31"/>
        <v>1647.8000000000002</v>
      </c>
      <c r="AA235" s="343">
        <f t="shared" si="31"/>
        <v>1647.3400000000001</v>
      </c>
      <c r="AB235" s="343">
        <f t="shared" si="31"/>
        <v>1659.3400000000001</v>
      </c>
      <c r="AC235" s="343">
        <f t="shared" si="31"/>
        <v>1708.3400000000001</v>
      </c>
      <c r="AD235" s="343">
        <f t="shared" si="31"/>
        <v>1715.3400000000001</v>
      </c>
      <c r="AE235" s="343">
        <f t="shared" si="31"/>
        <v>1737.24</v>
      </c>
      <c r="AF235" s="343">
        <f t="shared" si="31"/>
        <v>1735.34</v>
      </c>
      <c r="AG235" s="343">
        <f t="shared" si="31"/>
        <v>1710.24</v>
      </c>
      <c r="AH235" s="343">
        <f t="shared" si="31"/>
        <v>1625.54</v>
      </c>
      <c r="AI235" s="343">
        <f t="shared" si="31"/>
        <v>1644.14</v>
      </c>
      <c r="AJ235" s="343">
        <f t="shared" si="31"/>
        <v>1649.54</v>
      </c>
      <c r="AK235" s="343">
        <f t="shared" si="31"/>
        <v>1670.24</v>
      </c>
      <c r="AL235" s="343">
        <f t="shared" si="31"/>
        <v>1787.74</v>
      </c>
      <c r="AM235" s="343">
        <f t="shared" si="31"/>
        <v>1809.44</v>
      </c>
      <c r="AN235" s="343">
        <f t="shared" si="31"/>
        <v>1765.3400000000001</v>
      </c>
      <c r="AO235" s="343">
        <f t="shared" si="31"/>
        <v>1765.3400000000001</v>
      </c>
      <c r="AP235" s="343">
        <f t="shared" si="31"/>
        <v>1782.74</v>
      </c>
      <c r="AQ235" s="343">
        <f t="shared" si="31"/>
        <v>1795.94</v>
      </c>
      <c r="AR235" s="343">
        <f t="shared" si="31"/>
        <v>1900.44</v>
      </c>
      <c r="AS235" s="343">
        <f t="shared" si="31"/>
        <v>1872.24</v>
      </c>
      <c r="AT235" s="343">
        <f t="shared" si="31"/>
        <v>1858.74</v>
      </c>
      <c r="AU235" s="343">
        <f t="shared" si="31"/>
        <v>1882.44</v>
      </c>
      <c r="AV235" s="343">
        <f t="shared" si="31"/>
        <v>1818.44</v>
      </c>
      <c r="AW235" s="343">
        <f t="shared" si="31"/>
        <v>1772.54</v>
      </c>
      <c r="AX235" s="343">
        <f t="shared" si="31"/>
        <v>1712.34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4377" priority="232">
      <formula>B$9&gt;=20/24</formula>
    </cfRule>
    <cfRule type="expression" dxfId="4376" priority="233">
      <formula>AND(B$9&gt;=14/24,B$9&lt;20/24)</formula>
    </cfRule>
    <cfRule type="expression" dxfId="4375" priority="234">
      <formula>AND(B$9&gt;=8/24,B$9&lt;14/24)</formula>
    </cfRule>
    <cfRule type="expression" dxfId="4374" priority="235">
      <formula>B$9&lt;8/24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4373" priority="227">
      <formula>AA$9&gt;=20/24</formula>
    </cfRule>
    <cfRule type="expression" dxfId="4372" priority="228">
      <formula>AND(AA$9&gt;=14/24,AA$9&lt;20/24)</formula>
    </cfRule>
    <cfRule type="expression" dxfId="4371" priority="229">
      <formula>AND(AA$9&gt;=8/24,AA$9&lt;14/24)</formula>
    </cfRule>
    <cfRule type="expression" dxfId="4370" priority="230">
      <formula>AA$9&lt;8/24</formula>
    </cfRule>
  </conditionalFormatting>
  <conditionalFormatting sqref="AG55 B12:M16 N11:O11 P11:Q13 N16:Q16 R11:AF16 AA37:AF37 B35:AF35">
    <cfRule type="expression" dxfId="4369" priority="226">
      <formula>B11&gt;$AG11</formula>
    </cfRule>
  </conditionalFormatting>
  <conditionalFormatting sqref="A89:A102 A11:A14 A49:A76 A85:A87 A191:A221 A16:A30 A36:A47 A107:A178 A32:A33 A81:A83 A78:A79">
    <cfRule type="expression" dxfId="4368" priority="225">
      <formula>$AH11=0</formula>
    </cfRule>
  </conditionalFormatting>
  <conditionalFormatting sqref="A103">
    <cfRule type="expression" dxfId="4367" priority="224">
      <formula>$AH103=0</formula>
    </cfRule>
  </conditionalFormatting>
  <conditionalFormatting sqref="AL3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366" priority="222">
      <formula>$AH35=0</formula>
    </cfRule>
  </conditionalFormatting>
  <conditionalFormatting sqref="A88">
    <cfRule type="expression" dxfId="4365" priority="221">
      <formula>$AH88=0</formula>
    </cfRule>
  </conditionalFormatting>
  <conditionalFormatting sqref="A15">
    <cfRule type="expression" dxfId="4364" priority="220">
      <formula>$AH15=0</formula>
    </cfRule>
  </conditionalFormatting>
  <conditionalFormatting sqref="A185:A190">
    <cfRule type="expression" dxfId="4363" priority="219">
      <formula>$AH185=0</formula>
    </cfRule>
  </conditionalFormatting>
  <conditionalFormatting sqref="A179:A184">
    <cfRule type="expression" dxfId="4362" priority="218">
      <formula>$AH179=0</formula>
    </cfRule>
  </conditionalFormatting>
  <conditionalFormatting sqref="A48">
    <cfRule type="expression" dxfId="4361" priority="217">
      <formula>$AH48=0</formula>
    </cfRule>
  </conditionalFormatting>
  <conditionalFormatting sqref="A84">
    <cfRule type="expression" dxfId="4360" priority="216">
      <formula>$AH84=0</formula>
    </cfRule>
  </conditionalFormatting>
  <conditionalFormatting sqref="C89:AF89">
    <cfRule type="expression" dxfId="4359" priority="212">
      <formula>C$9&gt;=20/24</formula>
    </cfRule>
    <cfRule type="expression" dxfId="4358" priority="213">
      <formula>AND(C$9&gt;=14/24,C$9&lt;20/24)</formula>
    </cfRule>
    <cfRule type="expression" dxfId="4357" priority="214">
      <formula>AND(C$9&gt;=8/24,C$9&lt;14/24)</formula>
    </cfRule>
    <cfRule type="expression" dxfId="4356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355" priority="238">
      <formula>C$9&gt;=20/24</formula>
    </cfRule>
    <cfRule type="expression" dxfId="4354" priority="239">
      <formula>AND(C$9&gt;=14/24,C$9&lt;20/24)</formula>
    </cfRule>
    <cfRule type="expression" dxfId="4353" priority="240">
      <formula>AND(C$9&gt;=8/24,C$9&lt;14/24)</formula>
    </cfRule>
    <cfRule type="expression" dxfId="4352" priority="241">
      <formula>C$9&lt;8/24</formula>
    </cfRule>
  </conditionalFormatting>
  <conditionalFormatting sqref="A222">
    <cfRule type="expression" dxfId="4351" priority="242">
      <formula>$AH222=0</formula>
    </cfRule>
  </conditionalFormatting>
  <conditionalFormatting sqref="AG234">
    <cfRule type="expression" dxfId="4350" priority="243">
      <formula>B$9&gt;=20/24</formula>
    </cfRule>
    <cfRule type="expression" dxfId="4349" priority="244">
      <formula>AND(B$9&gt;=14/24,B$9&lt;20/24)</formula>
    </cfRule>
    <cfRule type="expression" dxfId="4348" priority="245">
      <formula>AND(B$9&gt;=8/24,B$9&lt;14/24)</formula>
    </cfRule>
    <cfRule type="expression" dxfId="4347" priority="246">
      <formula>B$9&lt;8/24</formula>
    </cfRule>
  </conditionalFormatting>
  <conditionalFormatting sqref="S8">
    <cfRule type="expression" dxfId="4346" priority="207">
      <formula>U$9&gt;=20/24</formula>
    </cfRule>
    <cfRule type="expression" dxfId="4345" priority="208">
      <formula>AND(U$9&gt;=14/24,U$9&lt;20/24)</formula>
    </cfRule>
    <cfRule type="expression" dxfId="4344" priority="209">
      <formula>AND(U$9&gt;=8/24,U$9&lt;14/24)</formula>
    </cfRule>
    <cfRule type="expression" dxfId="4343" priority="210">
      <formula>U$9&lt;8/24</formula>
    </cfRule>
  </conditionalFormatting>
  <conditionalFormatting sqref="AB8">
    <cfRule type="expression" dxfId="4342" priority="203">
      <formula>AD$9&gt;=20/24</formula>
    </cfRule>
    <cfRule type="expression" dxfId="4341" priority="204">
      <formula>AND(AD$9&gt;=14/24,AD$9&lt;20/24)</formula>
    </cfRule>
    <cfRule type="expression" dxfId="4340" priority="205">
      <formula>AND(AD$9&gt;=8/24,AD$9&lt;14/24)</formula>
    </cfRule>
    <cfRule type="expression" dxfId="4339" priority="206">
      <formula>AD$9&lt;8/24</formula>
    </cfRule>
  </conditionalFormatting>
  <conditionalFormatting sqref="AH234:AX234">
    <cfRule type="expression" dxfId="4338" priority="247">
      <formula>AG$9&gt;=20/24</formula>
    </cfRule>
    <cfRule type="expression" dxfId="4337" priority="248">
      <formula>AND(AG$9&gt;=14/24,AG$9&lt;20/24)</formula>
    </cfRule>
    <cfRule type="expression" dxfId="4336" priority="249">
      <formula>AND(AG$9&gt;=8/24,AG$9&lt;14/24)</formula>
    </cfRule>
    <cfRule type="expression" dxfId="4335" priority="250">
      <formula>AG$9&lt;8/24</formula>
    </cfRule>
  </conditionalFormatting>
  <conditionalFormatting sqref="T234">
    <cfRule type="expression" dxfId="4334" priority="251">
      <formula>AX$9&gt;=20/24</formula>
    </cfRule>
    <cfRule type="expression" dxfId="4333" priority="252">
      <formula>AND(AX$9&gt;=14/24,AX$9&lt;20/24)</formula>
    </cfRule>
    <cfRule type="expression" dxfId="4332" priority="253">
      <formula>AND(AX$9&gt;=8/24,AX$9&lt;14/24)</formula>
    </cfRule>
    <cfRule type="expression" dxfId="4331" priority="254">
      <formula>AX$9&lt;8/24</formula>
    </cfRule>
  </conditionalFormatting>
  <conditionalFormatting sqref="A104:A105">
    <cfRule type="expression" dxfId="4330" priority="202">
      <formula>$AH104=0</formula>
    </cfRule>
  </conditionalFormatting>
  <conditionalFormatting sqref="E44:M45 E61:AF61 T44:AF45 AA36:AF36">
    <cfRule type="expression" dxfId="4329" priority="198">
      <formula>E$9&gt;=20/24</formula>
    </cfRule>
    <cfRule type="expression" dxfId="4328" priority="199">
      <formula>AND(E$9&gt;=14/24,E$9&lt;20/24)</formula>
    </cfRule>
    <cfRule type="expression" dxfId="4327" priority="200">
      <formula>AND(E$9&gt;=8/24,E$9&lt;14/24)</formula>
    </cfRule>
    <cfRule type="expression" dxfId="4326" priority="201">
      <formula>E$9&lt;8/24</formula>
    </cfRule>
  </conditionalFormatting>
  <conditionalFormatting sqref="E43:M43 T43:AF43">
    <cfRule type="expression" dxfId="4325" priority="194">
      <formula>E$9&gt;=20/24</formula>
    </cfRule>
    <cfRule type="expression" dxfId="4324" priority="195">
      <formula>AND(E$9&gt;=14/24,E$9&lt;20/24)</formula>
    </cfRule>
    <cfRule type="expression" dxfId="4323" priority="196">
      <formula>AND(E$9&gt;=8/24,E$9&lt;14/24)</formula>
    </cfRule>
    <cfRule type="expression" dxfId="4322" priority="197">
      <formula>E$9&lt;8/24</formula>
    </cfRule>
  </conditionalFormatting>
  <conditionalFormatting sqref="E43:M45 T43:AF45 AA36:AF36">
    <cfRule type="expression" dxfId="4321" priority="193">
      <formula>E36&gt;$AG36</formula>
    </cfRule>
  </conditionalFormatting>
  <conditionalFormatting sqref="C86:AF86 N18:Q19 E62:AF63 AA64:AF71 R28:Z31 N11:Z14 E90:AF96 C73:AF76 M57:AF59 AA12:AF14 N16:AF16 AA28:AF32 R24:AF26 R18:AF22">
    <cfRule type="expression" dxfId="4320" priority="189">
      <formula>C$9&gt;=20/24</formula>
    </cfRule>
    <cfRule type="expression" dxfId="4319" priority="190">
      <formula>AND(C$9&gt;=14/24,C$9&lt;20/24)</formula>
    </cfRule>
    <cfRule type="expression" dxfId="4318" priority="191">
      <formula>AND(C$9&gt;=8/24,C$9&lt;14/24)</formula>
    </cfRule>
    <cfRule type="expression" dxfId="4317" priority="192">
      <formula>C$9&lt;8/24</formula>
    </cfRule>
  </conditionalFormatting>
  <conditionalFormatting sqref="AA33:AF33">
    <cfRule type="expression" dxfId="4316" priority="185">
      <formula>AA$9&gt;=20/24</formula>
    </cfRule>
    <cfRule type="expression" dxfId="4315" priority="186">
      <formula>AND(AA$9&gt;=14/24,AA$9&lt;20/24)</formula>
    </cfRule>
    <cfRule type="expression" dxfId="4314" priority="187">
      <formula>AND(AA$9&gt;=8/24,AA$9&lt;14/24)</formula>
    </cfRule>
    <cfRule type="expression" dxfId="4313" priority="188">
      <formula>AA$9&lt;8/24</formula>
    </cfRule>
  </conditionalFormatting>
  <conditionalFormatting sqref="AB46:AF47 C55:AF55 E46:M46 N11:O15 P14:Q15 N18:Q19 R24:Z31 P11:Z11 M57:AF59 AA24:AF33 R18:AF22">
    <cfRule type="expression" dxfId="4312" priority="184">
      <formula>C11&gt;$AG11</formula>
    </cfRule>
  </conditionalFormatting>
  <conditionalFormatting sqref="AA35:AF35">
    <cfRule type="expression" dxfId="4311" priority="180">
      <formula>AA$9&gt;=20/24</formula>
    </cfRule>
    <cfRule type="expression" dxfId="4310" priority="181">
      <formula>AND(AA$9&gt;=14/24,AA$9&lt;20/24)</formula>
    </cfRule>
    <cfRule type="expression" dxfId="4309" priority="182">
      <formula>AND(AA$9&gt;=8/24,AA$9&lt;14/24)</formula>
    </cfRule>
    <cfRule type="expression" dxfId="4308" priority="183">
      <formula>AA$9&lt;8/24</formula>
    </cfRule>
  </conditionalFormatting>
  <conditionalFormatting sqref="N15:AF15">
    <cfRule type="expression" dxfId="4307" priority="176">
      <formula>N$9&gt;=20/24</formula>
    </cfRule>
    <cfRule type="expression" dxfId="4306" priority="177">
      <formula>AND(N$9&gt;=14/24,N$9&lt;20/24)</formula>
    </cfRule>
    <cfRule type="expression" dxfId="4305" priority="178">
      <formula>AND(N$9&gt;=8/24,N$9&lt;14/24)</formula>
    </cfRule>
    <cfRule type="expression" dxfId="4304" priority="179">
      <formula>N$9&lt;8/24</formula>
    </cfRule>
  </conditionalFormatting>
  <conditionalFormatting sqref="AA34:AF34">
    <cfRule type="expression" dxfId="4303" priority="172">
      <formula>AA$9&gt;=20/24</formula>
    </cfRule>
    <cfRule type="expression" dxfId="4302" priority="173">
      <formula>AND(AA$9&gt;=14/24,AA$9&lt;20/24)</formula>
    </cfRule>
    <cfRule type="expression" dxfId="4301" priority="174">
      <formula>AND(AA$9&gt;=8/24,AA$9&lt;14/24)</formula>
    </cfRule>
    <cfRule type="expression" dxfId="4300" priority="175">
      <formula>AA$9&lt;8/24</formula>
    </cfRule>
  </conditionalFormatting>
  <conditionalFormatting sqref="AA34:AF34">
    <cfRule type="expression" dxfId="4299" priority="171">
      <formula>AA34&gt;$AG34</formula>
    </cfRule>
  </conditionalFormatting>
  <conditionalFormatting sqref="AA46:AA47 AB48:AF54">
    <cfRule type="expression" dxfId="4298" priority="163">
      <formula>AA$9&gt;=20/24</formula>
    </cfRule>
    <cfRule type="expression" dxfId="4297" priority="164">
      <formula>AND(AA$9&gt;=14/24,AA$9&lt;20/24)</formula>
    </cfRule>
    <cfRule type="expression" dxfId="4296" priority="165">
      <formula>AND(AA$9&gt;=8/24,AA$9&lt;14/24)</formula>
    </cfRule>
    <cfRule type="expression" dxfId="4295" priority="166">
      <formula>AA$9&lt;8/24</formula>
    </cfRule>
  </conditionalFormatting>
  <conditionalFormatting sqref="AA46:AA47 AB48:AF54">
    <cfRule type="expression" dxfId="4294" priority="162">
      <formula>AA46&gt;$AG46</formula>
    </cfRule>
  </conditionalFormatting>
  <conditionalFormatting sqref="AA48:AA54 M47 N43:S51 T46:Z54">
    <cfRule type="expression" dxfId="4293" priority="158">
      <formula>M$9&gt;=20/24</formula>
    </cfRule>
    <cfRule type="expression" dxfId="4292" priority="159">
      <formula>AND(M$9&gt;=14/24,M$9&lt;20/24)</formula>
    </cfRule>
    <cfRule type="expression" dxfId="4291" priority="160">
      <formula>AND(M$9&gt;=8/24,M$9&lt;14/24)</formula>
    </cfRule>
    <cfRule type="expression" dxfId="4290" priority="161">
      <formula>M$9&lt;8/24</formula>
    </cfRule>
  </conditionalFormatting>
  <conditionalFormatting sqref="AA48:AA54 M47 N43:S51 T46:Z54">
    <cfRule type="expression" dxfId="4289" priority="157">
      <formula>M43&gt;$AG43</formula>
    </cfRule>
  </conditionalFormatting>
  <conditionalFormatting sqref="R27:AF27">
    <cfRule type="expression" dxfId="4288" priority="153">
      <formula>R$9&gt;=20/24</formula>
    </cfRule>
    <cfRule type="expression" dxfId="4287" priority="154">
      <formula>AND(R$9&gt;=14/24,R$9&lt;20/24)</formula>
    </cfRule>
    <cfRule type="expression" dxfId="4286" priority="155">
      <formula>AND(R$9&gt;=8/24,R$9&lt;14/24)</formula>
    </cfRule>
    <cfRule type="expression" dxfId="4285" priority="156">
      <formula>R$9&lt;8/24</formula>
    </cfRule>
  </conditionalFormatting>
  <conditionalFormatting sqref="N17:AF17 R23:AF23">
    <cfRule type="expression" dxfId="4284" priority="149">
      <formula>N$9&gt;=20/24</formula>
    </cfRule>
    <cfRule type="expression" dxfId="4283" priority="150">
      <formula>AND(N$9&gt;=14/24,N$9&lt;20/24)</formula>
    </cfRule>
    <cfRule type="expression" dxfId="4282" priority="151">
      <formula>AND(N$9&gt;=8/24,N$9&lt;14/24)</formula>
    </cfRule>
    <cfRule type="expression" dxfId="4281" priority="152">
      <formula>N$9&lt;8/24</formula>
    </cfRule>
  </conditionalFormatting>
  <conditionalFormatting sqref="N17:AF17 R23:AF23">
    <cfRule type="expression" dxfId="4280" priority="144">
      <formula>N17&gt;$AG17</formula>
    </cfRule>
  </conditionalFormatting>
  <conditionalFormatting sqref="B99:B105 B78:AF78 B11:M11 B87:AF87">
    <cfRule type="expression" dxfId="4279" priority="99">
      <formula>B$9&gt;=20/24</formula>
    </cfRule>
    <cfRule type="expression" dxfId="4278" priority="100">
      <formula>AND(B$9&gt;=14/24,B$9&lt;20/24)</formula>
    </cfRule>
    <cfRule type="expression" dxfId="4277" priority="101">
      <formula>AND(B$9&gt;=8/24,B$9&lt;14/24)</formula>
    </cfRule>
    <cfRule type="expression" dxfId="4276" priority="102">
      <formula>B$9&lt;8/24</formula>
    </cfRule>
  </conditionalFormatting>
  <conditionalFormatting sqref="B37:Z37">
    <cfRule type="expression" dxfId="4275" priority="95">
      <formula>B$9&gt;=20/24</formula>
    </cfRule>
    <cfRule type="expression" dxfId="4274" priority="96">
      <formula>AND(B$9&gt;=14/24,B$9&lt;20/24)</formula>
    </cfRule>
    <cfRule type="expression" dxfId="4273" priority="97">
      <formula>AND(B$9&gt;=8/24,B$9&lt;14/24)</formula>
    </cfRule>
    <cfRule type="expression" dxfId="4272" priority="98">
      <formula>B$9&lt;8/24</formula>
    </cfRule>
  </conditionalFormatting>
  <conditionalFormatting sqref="B11:M11 B37:Z37">
    <cfRule type="expression" dxfId="4271" priority="94">
      <formula>B11&gt;$AG11</formula>
    </cfRule>
  </conditionalFormatting>
  <conditionalFormatting sqref="B89">
    <cfRule type="expression" dxfId="4270" priority="90">
      <formula>B$9&gt;=20/24</formula>
    </cfRule>
    <cfRule type="expression" dxfId="4269" priority="91">
      <formula>AND(B$9&gt;=14/24,B$9&lt;20/24)</formula>
    </cfRule>
    <cfRule type="expression" dxfId="4268" priority="92">
      <formula>AND(B$9&gt;=8/24,B$9&lt;14/24)</formula>
    </cfRule>
    <cfRule type="expression" dxfId="4267" priority="93">
      <formula>B$9&lt;8/24</formula>
    </cfRule>
  </conditionalFormatting>
  <conditionalFormatting sqref="B44:D45 B61:D61 B36:Z36">
    <cfRule type="expression" dxfId="4266" priority="86">
      <formula>B$9&gt;=20/24</formula>
    </cfRule>
    <cfRule type="expression" dxfId="4265" priority="87">
      <formula>AND(B$9&gt;=14/24,B$9&lt;20/24)</formula>
    </cfRule>
    <cfRule type="expression" dxfId="4264" priority="88">
      <formula>AND(B$9&gt;=8/24,B$9&lt;14/24)</formula>
    </cfRule>
    <cfRule type="expression" dxfId="4263" priority="89">
      <formula>B$9&lt;8/24</formula>
    </cfRule>
  </conditionalFormatting>
  <conditionalFormatting sqref="B43:D43">
    <cfRule type="expression" dxfId="4262" priority="82">
      <formula>B$9&gt;=20/24</formula>
    </cfRule>
    <cfRule type="expression" dxfId="4261" priority="83">
      <formula>AND(B$9&gt;=14/24,B$9&lt;20/24)</formula>
    </cfRule>
    <cfRule type="expression" dxfId="4260" priority="84">
      <formula>AND(B$9&gt;=8/24,B$9&lt;14/24)</formula>
    </cfRule>
    <cfRule type="expression" dxfId="4259" priority="85">
      <formula>B$9&lt;8/24</formula>
    </cfRule>
  </conditionalFormatting>
  <conditionalFormatting sqref="B43:D45 B36:Z36">
    <cfRule type="expression" dxfId="4258" priority="81">
      <formula>B36&gt;$AG36</formula>
    </cfRule>
  </conditionalFormatting>
  <conditionalFormatting sqref="B57:B60 B73:B77 B86 B62:D71 B90:D96 C57:L59 B12:M14 B16:M16 B18:M22 N20:Q22 B24:Q26 B28:Q32 R32:Z32 E64:Z71 C60:AG60 C77:AG77 B79:AF79 B88:AF88">
    <cfRule type="expression" dxfId="4257" priority="77">
      <formula>B$9&gt;=20/24</formula>
    </cfRule>
    <cfRule type="expression" dxfId="4256" priority="78">
      <formula>AND(B$9&gt;=14/24,B$9&lt;20/24)</formula>
    </cfRule>
    <cfRule type="expression" dxfId="4255" priority="79">
      <formula>AND(B$9&gt;=8/24,B$9&lt;14/24)</formula>
    </cfRule>
    <cfRule type="expression" dxfId="4254" priority="80">
      <formula>B$9&lt;8/24</formula>
    </cfRule>
  </conditionalFormatting>
  <conditionalFormatting sqref="B33:Z33">
    <cfRule type="expression" dxfId="4253" priority="73">
      <formula>B$9&gt;=20/24</formula>
    </cfRule>
    <cfRule type="expression" dxfId="4252" priority="74">
      <formula>AND(B$9&gt;=14/24,B$9&lt;20/24)</formula>
    </cfRule>
    <cfRule type="expression" dxfId="4251" priority="75">
      <formula>AND(B$9&gt;=8/24,B$9&lt;14/24)</formula>
    </cfRule>
    <cfRule type="expression" dxfId="4250" priority="76">
      <formula>B$9&lt;8/24</formula>
    </cfRule>
  </conditionalFormatting>
  <conditionalFormatting sqref="B55:B60 B46:D47 C57:L59 B18:M22 E47:L47 N20:Q22 B24:Q33 R32:Z33 B38:AG38 C56:AG56 C60:AG60">
    <cfRule type="expression" dxfId="4249" priority="72">
      <formula>B18&gt;$AG18</formula>
    </cfRule>
  </conditionalFormatting>
  <conditionalFormatting sqref="B35:Z35">
    <cfRule type="expression" dxfId="4248" priority="68">
      <formula>B$9&gt;=20/24</formula>
    </cfRule>
    <cfRule type="expression" dxfId="4247" priority="69">
      <formula>AND(B$9&gt;=14/24,B$9&lt;20/24)</formula>
    </cfRule>
    <cfRule type="expression" dxfId="4246" priority="70">
      <formula>AND(B$9&gt;=8/24,B$9&lt;14/24)</formula>
    </cfRule>
    <cfRule type="expression" dxfId="4245" priority="71">
      <formula>B$9&lt;8/24</formula>
    </cfRule>
  </conditionalFormatting>
  <conditionalFormatting sqref="B15:M15">
    <cfRule type="expression" dxfId="4244" priority="64">
      <formula>B$9&gt;=20/24</formula>
    </cfRule>
    <cfRule type="expression" dxfId="4243" priority="65">
      <formula>AND(B$9&gt;=14/24,B$9&lt;20/24)</formula>
    </cfRule>
    <cfRule type="expression" dxfId="4242" priority="66">
      <formula>AND(B$9&gt;=8/24,B$9&lt;14/24)</formula>
    </cfRule>
    <cfRule type="expression" dxfId="4241" priority="67">
      <formula>B$9&lt;8/24</formula>
    </cfRule>
  </conditionalFormatting>
  <conditionalFormatting sqref="B34:Z34">
    <cfRule type="expression" dxfId="4240" priority="60">
      <formula>B$9&gt;=20/24</formula>
    </cfRule>
    <cfRule type="expression" dxfId="4239" priority="61">
      <formula>AND(B$9&gt;=14/24,B$9&lt;20/24)</formula>
    </cfRule>
    <cfRule type="expression" dxfId="4238" priority="62">
      <formula>AND(B$9&gt;=8/24,B$9&lt;14/24)</formula>
    </cfRule>
    <cfRule type="expression" dxfId="4237" priority="63">
      <formula>B$9&lt;8/24</formula>
    </cfRule>
  </conditionalFormatting>
  <conditionalFormatting sqref="B34:Z34">
    <cfRule type="expression" dxfId="4236" priority="59">
      <formula>B34&gt;$AG34</formula>
    </cfRule>
  </conditionalFormatting>
  <conditionalFormatting sqref="B48:M54 N52:S54">
    <cfRule type="expression" dxfId="4235" priority="55">
      <formula>B$9&gt;=20/24</formula>
    </cfRule>
    <cfRule type="expression" dxfId="4234" priority="56">
      <formula>AND(B$9&gt;=14/24,B$9&lt;20/24)</formula>
    </cfRule>
    <cfRule type="expression" dxfId="4233" priority="57">
      <formula>AND(B$9&gt;=8/24,B$9&lt;14/24)</formula>
    </cfRule>
    <cfRule type="expression" dxfId="4232" priority="58">
      <formula>B$9&lt;8/24</formula>
    </cfRule>
  </conditionalFormatting>
  <conditionalFormatting sqref="B48:M54 N52:S54">
    <cfRule type="expression" dxfId="4231" priority="54">
      <formula>B48&gt;$AG48</formula>
    </cfRule>
  </conditionalFormatting>
  <conditionalFormatting sqref="B27:Q27">
    <cfRule type="expression" dxfId="4230" priority="50">
      <formula>B$9&gt;=20/24</formula>
    </cfRule>
    <cfRule type="expression" dxfId="4229" priority="51">
      <formula>AND(B$9&gt;=14/24,B$9&lt;20/24)</formula>
    </cfRule>
    <cfRule type="expression" dxfId="4228" priority="52">
      <formula>AND(B$9&gt;=8/24,B$9&lt;14/24)</formula>
    </cfRule>
    <cfRule type="expression" dxfId="4227" priority="53">
      <formula>B$9&lt;8/24</formula>
    </cfRule>
  </conditionalFormatting>
  <conditionalFormatting sqref="B17:M17 B23:Q23">
    <cfRule type="expression" dxfId="4226" priority="46">
      <formula>B$9&gt;=20/24</formula>
    </cfRule>
    <cfRule type="expression" dxfId="4225" priority="47">
      <formula>AND(B$9&gt;=14/24,B$9&lt;20/24)</formula>
    </cfRule>
    <cfRule type="expression" dxfId="4224" priority="48">
      <formula>AND(B$9&gt;=8/24,B$9&lt;14/24)</formula>
    </cfRule>
    <cfRule type="expression" dxfId="4223" priority="49">
      <formula>B$9&lt;8/24</formula>
    </cfRule>
  </conditionalFormatting>
  <conditionalFormatting sqref="B17:M17 B23:Q23">
    <cfRule type="expression" dxfId="4222" priority="45">
      <formula>B17&gt;$AG17</formula>
    </cfRule>
  </conditionalFormatting>
  <conditionalFormatting sqref="A34">
    <cfRule type="expression" dxfId="4221" priority="44">
      <formula>$AH34=0</formula>
    </cfRule>
  </conditionalFormatting>
  <conditionalFormatting sqref="B72:AF72">
    <cfRule type="expression" dxfId="4220" priority="40">
      <formula>B$9&gt;=20/24</formula>
    </cfRule>
    <cfRule type="expression" dxfId="4219" priority="41">
      <formula>AND(B$9&gt;=14/24,B$9&lt;20/24)</formula>
    </cfRule>
    <cfRule type="expression" dxfId="4218" priority="42">
      <formula>AND(B$9&gt;=8/24,B$9&lt;14/24)</formula>
    </cfRule>
    <cfRule type="expression" dxfId="4217" priority="43">
      <formula>B$9&lt;8/24</formula>
    </cfRule>
  </conditionalFormatting>
  <conditionalFormatting sqref="B81:AF85">
    <cfRule type="expression" dxfId="4216" priority="36">
      <formula>B$9&gt;=20/24</formula>
    </cfRule>
    <cfRule type="expression" dxfId="4215" priority="37">
      <formula>AND(B$9&gt;=14/24,B$9&lt;20/24)</formula>
    </cfRule>
    <cfRule type="expression" dxfId="4214" priority="38">
      <formula>AND(B$9&gt;=8/24,B$9&lt;14/24)</formula>
    </cfRule>
    <cfRule type="expression" dxfId="4213" priority="39">
      <formula>B$9&lt;8/24</formula>
    </cfRule>
  </conditionalFormatting>
  <conditionalFormatting sqref="AL35 AL7:AL30 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AA39:AF41">
    <cfRule type="expression" dxfId="4212" priority="32">
      <formula>AA$9&gt;=20/24</formula>
    </cfRule>
    <cfRule type="expression" dxfId="4211" priority="33">
      <formula>AND(AA$9&gt;=14/24,AA$9&lt;20/24)</formula>
    </cfRule>
    <cfRule type="expression" dxfId="4210" priority="34">
      <formula>AND(AA$9&gt;=8/24,AA$9&lt;14/24)</formula>
    </cfRule>
    <cfRule type="expression" dxfId="4209" priority="35">
      <formula>AA$9&lt;8/24</formula>
    </cfRule>
  </conditionalFormatting>
  <conditionalFormatting sqref="AA39:AF41">
    <cfRule type="expression" dxfId="4208" priority="31">
      <formula>AA39&gt;$AG39</formula>
    </cfRule>
  </conditionalFormatting>
  <conditionalFormatting sqref="B39:B42 C39:Z41 C42:AG42">
    <cfRule type="expression" dxfId="4207" priority="27">
      <formula>B$9&gt;=20/24</formula>
    </cfRule>
    <cfRule type="expression" dxfId="4206" priority="28">
      <formula>AND(B$9&gt;=14/24,B$9&lt;20/24)</formula>
    </cfRule>
    <cfRule type="expression" dxfId="4205" priority="29">
      <formula>AND(B$9&gt;=8/24,B$9&lt;14/24)</formula>
    </cfRule>
    <cfRule type="expression" dxfId="4204" priority="30">
      <formula>B$9&lt;8/24</formula>
    </cfRule>
  </conditionalFormatting>
  <conditionalFormatting sqref="B39:B42 C39:Z41 C42:AG42">
    <cfRule type="expression" dxfId="4203" priority="26">
      <formula>B39&gt;$AG39</formula>
    </cfRule>
  </conditionalFormatting>
  <conditionalFormatting sqref="C97:AF97">
    <cfRule type="expression" dxfId="4202" priority="22">
      <formula>C$9&gt;=20/24</formula>
    </cfRule>
    <cfRule type="expression" dxfId="4201" priority="23">
      <formula>AND(C$9&gt;=14/24,C$9&lt;20/24)</formula>
    </cfRule>
    <cfRule type="expression" dxfId="4200" priority="24">
      <formula>AND(C$9&gt;=8/24,C$9&lt;14/24)</formula>
    </cfRule>
    <cfRule type="expression" dxfId="4199" priority="25">
      <formula>C$9&lt;8/24</formula>
    </cfRule>
  </conditionalFormatting>
  <conditionalFormatting sqref="B97">
    <cfRule type="expression" dxfId="4198" priority="18">
      <formula>B$9&gt;=20/24</formula>
    </cfRule>
    <cfRule type="expression" dxfId="4197" priority="19">
      <formula>AND(B$9&gt;=14/24,B$9&lt;20/24)</formula>
    </cfRule>
    <cfRule type="expression" dxfId="4196" priority="20">
      <formula>AND(B$9&gt;=8/24,B$9&lt;14/24)</formula>
    </cfRule>
    <cfRule type="expression" dxfId="4195" priority="21">
      <formula>B$9&lt;8/24</formula>
    </cfRule>
  </conditionalFormatting>
  <conditionalFormatting sqref="AL31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194" priority="12">
      <formula>$AH31=0</formula>
    </cfRule>
  </conditionalFormatting>
  <conditionalFormatting sqref="A80">
    <cfRule type="expression" dxfId="4193" priority="10">
      <formula>$AH80=0</formula>
    </cfRule>
  </conditionalFormatting>
  <conditionalFormatting sqref="A77">
    <cfRule type="expression" dxfId="4192" priority="11">
      <formula>$AH77=0</formula>
    </cfRule>
  </conditionalFormatting>
  <conditionalFormatting sqref="A106">
    <cfRule type="expression" dxfId="4191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752C91FF-E985-46E8-A80C-CE95742CCAE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94C93D31-366A-423E-BF80-08A20B39173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6419A0A5-A7A9-4EE4-A82C-51A0F7856C5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27BDA2A7-8A95-4539-9797-A8A8E52C834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85BA84B3-FA25-4978-9A09-6C4A937DBD9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6C1EED1C-A2DD-4196-9C40-B475F03FA72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8844802C-153D-4741-8769-CD4F1EFA7DD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BB7F3E33-217C-431A-BADF-D1FD5093B1E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4D904194-6AF1-49AE-A9F5-9678B50076A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0D8A4692-A9FB-489C-9D12-6B85AF32F0A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85F63204-0A48-478F-A2EB-0B7637B6043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5DC08F2C-A4C2-498E-B362-32A2E66A9CE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CJ493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2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2079/02/18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7.7</v>
      </c>
      <c r="Y5" s="205">
        <f t="shared" si="0"/>
        <v>15</v>
      </c>
      <c r="Z5" s="205">
        <f t="shared" si="0"/>
        <v>14</v>
      </c>
      <c r="AA5" s="205">
        <f t="shared" si="0"/>
        <v>11.8</v>
      </c>
      <c r="AB5" s="205">
        <f t="shared" si="0"/>
        <v>4</v>
      </c>
      <c r="AC5" s="205">
        <f t="shared" si="0"/>
        <v>4</v>
      </c>
      <c r="AD5" s="205">
        <f t="shared" si="0"/>
        <v>4</v>
      </c>
      <c r="AE5" s="205">
        <f t="shared" si="0"/>
        <v>4</v>
      </c>
      <c r="AF5" s="205">
        <f>B72</f>
        <v>2.8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1671MW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Load=1577</v>
      </c>
      <c r="B7" s="210">
        <f>B79</f>
        <v>1680.5399999999997</v>
      </c>
      <c r="C7" s="210">
        <f t="shared" ref="C7:AF7" si="1">C79</f>
        <v>1671.7399999999998</v>
      </c>
      <c r="D7" s="210">
        <f t="shared" si="1"/>
        <v>1662.2399999999998</v>
      </c>
      <c r="E7" s="210">
        <f t="shared" si="1"/>
        <v>1615.44</v>
      </c>
      <c r="F7" s="210">
        <f t="shared" si="1"/>
        <v>1589.5400000000002</v>
      </c>
      <c r="G7" s="210">
        <f t="shared" si="1"/>
        <v>1593.94</v>
      </c>
      <c r="H7" s="210">
        <f t="shared" si="1"/>
        <v>1585.6399999999999</v>
      </c>
      <c r="I7" s="210">
        <f t="shared" si="1"/>
        <v>1589.6399999999999</v>
      </c>
      <c r="J7" s="210">
        <f t="shared" si="1"/>
        <v>1593.6399999999999</v>
      </c>
      <c r="K7" s="210">
        <f t="shared" si="1"/>
        <v>1607.04</v>
      </c>
      <c r="L7" s="210">
        <f t="shared" si="1"/>
        <v>1617.14</v>
      </c>
      <c r="M7" s="210">
        <f t="shared" si="1"/>
        <v>1626.94</v>
      </c>
      <c r="N7" s="210">
        <f t="shared" si="1"/>
        <v>1671.34</v>
      </c>
      <c r="O7" s="210">
        <f t="shared" si="1"/>
        <v>1671.34</v>
      </c>
      <c r="P7" s="210">
        <f t="shared" si="1"/>
        <v>1658.9399999999998</v>
      </c>
      <c r="Q7" s="210">
        <f t="shared" si="1"/>
        <v>1652.9399999999998</v>
      </c>
      <c r="R7" s="210">
        <f t="shared" si="1"/>
        <v>1577.34</v>
      </c>
      <c r="S7" s="210">
        <f t="shared" si="1"/>
        <v>1609.54</v>
      </c>
      <c r="T7" s="210">
        <f t="shared" si="1"/>
        <v>1592.6399999999999</v>
      </c>
      <c r="U7" s="210">
        <f t="shared" si="1"/>
        <v>1601.94</v>
      </c>
      <c r="V7" s="210">
        <f t="shared" si="1"/>
        <v>1614.34</v>
      </c>
      <c r="W7" s="210">
        <f t="shared" si="1"/>
        <v>1623.84</v>
      </c>
      <c r="X7" s="210">
        <f t="shared" si="1"/>
        <v>1660.44</v>
      </c>
      <c r="Y7" s="210">
        <f t="shared" si="1"/>
        <v>1794.9399999999998</v>
      </c>
      <c r="Z7" s="210">
        <f t="shared" si="1"/>
        <v>1823.5399999999997</v>
      </c>
      <c r="AA7" s="210">
        <f t="shared" si="1"/>
        <v>1811.4399999999998</v>
      </c>
      <c r="AB7" s="210">
        <f t="shared" si="1"/>
        <v>1814.34</v>
      </c>
      <c r="AC7" s="210">
        <f t="shared" si="1"/>
        <v>1813.04</v>
      </c>
      <c r="AD7" s="210">
        <f t="shared" si="1"/>
        <v>1786.84</v>
      </c>
      <c r="AE7" s="210">
        <f t="shared" si="1"/>
        <v>1739.84</v>
      </c>
      <c r="AF7" s="210">
        <f t="shared" si="1"/>
        <v>1729.84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4">
        <v>53.4</v>
      </c>
      <c r="C11" s="224">
        <v>53.3</v>
      </c>
      <c r="D11" s="224">
        <v>53.2</v>
      </c>
      <c r="E11" s="224">
        <v>53.2</v>
      </c>
      <c r="F11" s="224">
        <v>53.2</v>
      </c>
      <c r="G11" s="224">
        <v>53.2</v>
      </c>
      <c r="H11" s="224">
        <v>53.2</v>
      </c>
      <c r="I11" s="224">
        <v>53.2</v>
      </c>
      <c r="J11" s="224">
        <v>53.2</v>
      </c>
      <c r="K11" s="224">
        <v>53.2</v>
      </c>
      <c r="L11" s="224">
        <v>53.2</v>
      </c>
      <c r="M11" s="224">
        <v>53.2</v>
      </c>
      <c r="N11" s="224">
        <v>53.2</v>
      </c>
      <c r="O11" s="224">
        <v>53.2</v>
      </c>
      <c r="P11" s="224">
        <v>53.2</v>
      </c>
      <c r="Q11" s="224">
        <v>53.2</v>
      </c>
      <c r="R11" s="224">
        <v>53.2</v>
      </c>
      <c r="S11" s="224">
        <v>53.3</v>
      </c>
      <c r="T11" s="224">
        <v>53.3</v>
      </c>
      <c r="U11" s="224">
        <v>53.3</v>
      </c>
      <c r="V11" s="224">
        <v>53.3</v>
      </c>
      <c r="W11" s="224">
        <v>53.3</v>
      </c>
      <c r="X11" s="224">
        <v>53.3</v>
      </c>
      <c r="Y11" s="224">
        <v>53.3</v>
      </c>
      <c r="Z11" s="224">
        <v>53.2</v>
      </c>
      <c r="AA11" s="224">
        <v>53.2</v>
      </c>
      <c r="AB11" s="224">
        <v>53.3</v>
      </c>
      <c r="AC11" s="224">
        <v>53.3</v>
      </c>
      <c r="AD11" s="224">
        <v>53.3</v>
      </c>
      <c r="AE11" s="224">
        <v>53.3</v>
      </c>
      <c r="AF11" s="224">
        <v>53.3</v>
      </c>
      <c r="AG11" s="225">
        <v>52.4</v>
      </c>
      <c r="AH11" s="226">
        <f>MAX(B11:AF11)</f>
        <v>53.4</v>
      </c>
      <c r="AI11" s="227">
        <f>MIN(B11:AF11)</f>
        <v>53.2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50.3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0</v>
      </c>
      <c r="N12" s="221">
        <v>0</v>
      </c>
      <c r="O12" s="221">
        <v>0</v>
      </c>
      <c r="P12" s="221">
        <v>0</v>
      </c>
      <c r="Q12" s="221">
        <v>0</v>
      </c>
      <c r="R12" s="221">
        <v>0</v>
      </c>
      <c r="S12" s="221">
        <v>50.4</v>
      </c>
      <c r="T12" s="221">
        <v>50.4</v>
      </c>
      <c r="U12" s="221">
        <v>50.4</v>
      </c>
      <c r="V12" s="221">
        <v>50.4</v>
      </c>
      <c r="W12" s="221">
        <v>50.4</v>
      </c>
      <c r="X12" s="221">
        <v>50.4</v>
      </c>
      <c r="Y12" s="221">
        <v>50.4</v>
      </c>
      <c r="Z12" s="221">
        <v>50.4</v>
      </c>
      <c r="AA12" s="221">
        <v>50.4</v>
      </c>
      <c r="AB12" s="221">
        <v>50.4</v>
      </c>
      <c r="AC12" s="221">
        <v>50.4</v>
      </c>
      <c r="AD12" s="221">
        <v>50.4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50.4</v>
      </c>
      <c r="AI12" s="227">
        <f t="shared" ref="AI12:AI79" si="3">MIN(B12:AF12)</f>
        <v>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46.2</v>
      </c>
      <c r="C13" s="221">
        <v>46.1</v>
      </c>
      <c r="D13" s="221">
        <v>46.2</v>
      </c>
      <c r="E13" s="221">
        <v>46.2</v>
      </c>
      <c r="F13" s="221">
        <v>46.2</v>
      </c>
      <c r="G13" s="221">
        <v>46.2</v>
      </c>
      <c r="H13" s="221">
        <v>46.2</v>
      </c>
      <c r="I13" s="221">
        <v>46.2</v>
      </c>
      <c r="J13" s="221">
        <v>46.2</v>
      </c>
      <c r="K13" s="221">
        <v>46.2</v>
      </c>
      <c r="L13" s="221">
        <v>46.2</v>
      </c>
      <c r="M13" s="221">
        <v>46.2</v>
      </c>
      <c r="N13" s="221">
        <v>46.2</v>
      </c>
      <c r="O13" s="221">
        <v>46.2</v>
      </c>
      <c r="P13" s="221">
        <v>46.2</v>
      </c>
      <c r="Q13" s="221">
        <v>46.2</v>
      </c>
      <c r="R13" s="221">
        <v>46.2</v>
      </c>
      <c r="S13" s="221">
        <v>46.1</v>
      </c>
      <c r="T13" s="221">
        <v>46.1</v>
      </c>
      <c r="U13" s="221">
        <v>46.1</v>
      </c>
      <c r="V13" s="221">
        <v>46.1</v>
      </c>
      <c r="W13" s="221">
        <v>46.1</v>
      </c>
      <c r="X13" s="221">
        <v>46.1</v>
      </c>
      <c r="Y13" s="221">
        <v>46.1</v>
      </c>
      <c r="Z13" s="221">
        <v>46.2</v>
      </c>
      <c r="AA13" s="221">
        <v>46.2</v>
      </c>
      <c r="AB13" s="221">
        <v>46.2</v>
      </c>
      <c r="AC13" s="221">
        <v>46.2</v>
      </c>
      <c r="AD13" s="221">
        <v>46.2</v>
      </c>
      <c r="AE13" s="221">
        <v>46.2</v>
      </c>
      <c r="AF13" s="221">
        <v>46.2</v>
      </c>
      <c r="AG13" s="229">
        <v>45</v>
      </c>
      <c r="AH13" s="226">
        <f t="shared" si="2"/>
        <v>46.2</v>
      </c>
      <c r="AI13" s="227">
        <f t="shared" si="3"/>
        <v>46.1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30</v>
      </c>
      <c r="D14" s="221">
        <v>26</v>
      </c>
      <c r="E14" s="221">
        <v>26</v>
      </c>
      <c r="F14" s="221">
        <v>26</v>
      </c>
      <c r="G14" s="221">
        <v>26</v>
      </c>
      <c r="H14" s="221">
        <v>26</v>
      </c>
      <c r="I14" s="221">
        <v>26</v>
      </c>
      <c r="J14" s="221">
        <v>26</v>
      </c>
      <c r="K14" s="221">
        <v>26</v>
      </c>
      <c r="L14" s="221">
        <v>26</v>
      </c>
      <c r="M14" s="221">
        <v>26</v>
      </c>
      <c r="N14" s="221">
        <v>26</v>
      </c>
      <c r="O14" s="221">
        <v>26</v>
      </c>
      <c r="P14" s="221">
        <v>26</v>
      </c>
      <c r="Q14" s="221">
        <v>20</v>
      </c>
      <c r="R14" s="221">
        <v>20</v>
      </c>
      <c r="S14" s="221">
        <v>20</v>
      </c>
      <c r="T14" s="221">
        <v>20</v>
      </c>
      <c r="U14" s="221">
        <v>20</v>
      </c>
      <c r="V14" s="221">
        <v>20</v>
      </c>
      <c r="W14" s="221">
        <v>20</v>
      </c>
      <c r="X14" s="221">
        <v>20</v>
      </c>
      <c r="Y14" s="221">
        <v>32</v>
      </c>
      <c r="Z14" s="221">
        <v>41</v>
      </c>
      <c r="AA14" s="221">
        <v>36</v>
      </c>
      <c r="AB14" s="221">
        <v>41</v>
      </c>
      <c r="AC14" s="221">
        <v>41</v>
      </c>
      <c r="AD14" s="221">
        <v>35</v>
      </c>
      <c r="AE14" s="221">
        <v>28</v>
      </c>
      <c r="AF14" s="221">
        <v>28</v>
      </c>
      <c r="AG14" s="229">
        <v>42</v>
      </c>
      <c r="AH14" s="226">
        <f t="shared" si="2"/>
        <v>41</v>
      </c>
      <c r="AI14" s="227">
        <f t="shared" si="3"/>
        <v>20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20.100000000000001</v>
      </c>
      <c r="C15" s="221">
        <v>15</v>
      </c>
      <c r="D15" s="221">
        <v>10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0</v>
      </c>
      <c r="M15" s="221">
        <v>15</v>
      </c>
      <c r="N15" s="221">
        <v>10</v>
      </c>
      <c r="O15" s="221">
        <v>10</v>
      </c>
      <c r="P15" s="221">
        <v>0</v>
      </c>
      <c r="Q15" s="221">
        <v>0</v>
      </c>
      <c r="R15" s="221">
        <v>0</v>
      </c>
      <c r="S15" s="221">
        <v>0</v>
      </c>
      <c r="T15" s="221">
        <v>0</v>
      </c>
      <c r="U15" s="221">
        <v>0</v>
      </c>
      <c r="V15" s="221">
        <v>0</v>
      </c>
      <c r="W15" s="221">
        <v>0</v>
      </c>
      <c r="X15" s="221">
        <v>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5</v>
      </c>
      <c r="AF15" s="221">
        <v>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26.2</v>
      </c>
      <c r="C16" s="221">
        <v>26.3</v>
      </c>
      <c r="D16" s="221">
        <v>26.2</v>
      </c>
      <c r="E16" s="221">
        <v>26.2</v>
      </c>
      <c r="F16" s="221">
        <v>26.2</v>
      </c>
      <c r="G16" s="221">
        <v>25.7</v>
      </c>
      <c r="H16" s="221">
        <v>25.7</v>
      </c>
      <c r="I16" s="221">
        <v>25.7</v>
      </c>
      <c r="J16" s="221">
        <v>25.7</v>
      </c>
      <c r="K16" s="221">
        <v>25.7</v>
      </c>
      <c r="L16" s="221">
        <v>25.7</v>
      </c>
      <c r="M16" s="221">
        <v>25.7</v>
      </c>
      <c r="N16" s="221">
        <v>25.7</v>
      </c>
      <c r="O16" s="221">
        <v>25.7</v>
      </c>
      <c r="P16" s="221">
        <v>25.7</v>
      </c>
      <c r="Q16" s="221">
        <v>25.7</v>
      </c>
      <c r="R16" s="221">
        <v>25.7</v>
      </c>
      <c r="S16" s="221">
        <v>25.4</v>
      </c>
      <c r="T16" s="221">
        <v>25.4</v>
      </c>
      <c r="U16" s="221">
        <v>25.4</v>
      </c>
      <c r="V16" s="221">
        <v>25.4</v>
      </c>
      <c r="W16" s="221">
        <v>25.4</v>
      </c>
      <c r="X16" s="221">
        <v>25.4</v>
      </c>
      <c r="Y16" s="221">
        <v>26.2</v>
      </c>
      <c r="Z16" s="221">
        <v>26.2</v>
      </c>
      <c r="AA16" s="221">
        <v>26.2</v>
      </c>
      <c r="AB16" s="221">
        <v>26.2</v>
      </c>
      <c r="AC16" s="221">
        <v>26.2</v>
      </c>
      <c r="AD16" s="221">
        <v>26.2</v>
      </c>
      <c r="AE16" s="221">
        <v>26.2</v>
      </c>
      <c r="AF16" s="221">
        <v>26.2</v>
      </c>
      <c r="AG16" s="229">
        <v>25</v>
      </c>
      <c r="AH16" s="226">
        <f t="shared" si="2"/>
        <v>26.3</v>
      </c>
      <c r="AI16" s="227">
        <f t="shared" si="3"/>
        <v>25.4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22</v>
      </c>
      <c r="C17" s="221">
        <v>22</v>
      </c>
      <c r="D17" s="221">
        <v>22</v>
      </c>
      <c r="E17" s="221">
        <v>22</v>
      </c>
      <c r="F17" s="221">
        <v>22</v>
      </c>
      <c r="G17" s="221">
        <v>22</v>
      </c>
      <c r="H17" s="221">
        <v>22</v>
      </c>
      <c r="I17" s="221">
        <v>22</v>
      </c>
      <c r="J17" s="221">
        <v>22</v>
      </c>
      <c r="K17" s="221">
        <v>22</v>
      </c>
      <c r="L17" s="221">
        <v>22</v>
      </c>
      <c r="M17" s="221">
        <v>22</v>
      </c>
      <c r="N17" s="221">
        <v>0</v>
      </c>
      <c r="O17" s="221">
        <v>0</v>
      </c>
      <c r="P17" s="221">
        <v>0</v>
      </c>
      <c r="Q17" s="221">
        <v>0</v>
      </c>
      <c r="R17" s="221">
        <v>0</v>
      </c>
      <c r="S17" s="221">
        <v>12.5</v>
      </c>
      <c r="T17" s="221">
        <v>12.5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33.299999999999997</v>
      </c>
      <c r="C19" s="221">
        <v>33.299999999999997</v>
      </c>
      <c r="D19" s="221">
        <v>33.299999999999997</v>
      </c>
      <c r="E19" s="221">
        <v>33.299999999999997</v>
      </c>
      <c r="F19" s="221">
        <v>33.299999999999997</v>
      </c>
      <c r="G19" s="221">
        <v>33.299999999999997</v>
      </c>
      <c r="H19" s="221">
        <v>25</v>
      </c>
      <c r="I19" s="221">
        <v>25</v>
      </c>
      <c r="J19" s="221">
        <v>25</v>
      </c>
      <c r="K19" s="221">
        <v>25</v>
      </c>
      <c r="L19" s="221">
        <v>25</v>
      </c>
      <c r="M19" s="221">
        <v>25</v>
      </c>
      <c r="N19" s="221">
        <v>26</v>
      </c>
      <c r="O19" s="221">
        <v>26</v>
      </c>
      <c r="P19" s="221">
        <v>26</v>
      </c>
      <c r="Q19" s="221">
        <v>26</v>
      </c>
      <c r="R19" s="221">
        <v>26</v>
      </c>
      <c r="S19" s="221">
        <v>26</v>
      </c>
      <c r="T19" s="221">
        <v>26</v>
      </c>
      <c r="U19" s="221">
        <v>26</v>
      </c>
      <c r="V19" s="221">
        <v>26</v>
      </c>
      <c r="W19" s="221">
        <v>26</v>
      </c>
      <c r="X19" s="221">
        <v>26</v>
      </c>
      <c r="Y19" s="221">
        <v>26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24</v>
      </c>
      <c r="AE19" s="221">
        <v>24</v>
      </c>
      <c r="AF19" s="221">
        <v>24</v>
      </c>
      <c r="AG19" s="229">
        <v>24.2</v>
      </c>
      <c r="AH19" s="226">
        <f t="shared" si="2"/>
        <v>33.299999999999997</v>
      </c>
      <c r="AI19" s="227">
        <f t="shared" si="3"/>
        <v>24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23.3</v>
      </c>
      <c r="C20" s="221">
        <v>23.3</v>
      </c>
      <c r="D20" s="221">
        <v>23.3</v>
      </c>
      <c r="E20" s="221">
        <v>23.3</v>
      </c>
      <c r="F20" s="221">
        <v>23.3</v>
      </c>
      <c r="G20" s="221">
        <v>23.3</v>
      </c>
      <c r="H20" s="221">
        <v>23.3</v>
      </c>
      <c r="I20" s="221">
        <v>23.3</v>
      </c>
      <c r="J20" s="221">
        <v>23.3</v>
      </c>
      <c r="K20" s="221">
        <v>23.3</v>
      </c>
      <c r="L20" s="221">
        <v>23.3</v>
      </c>
      <c r="M20" s="221">
        <v>23.3</v>
      </c>
      <c r="N20" s="221">
        <v>23.3</v>
      </c>
      <c r="O20" s="221">
        <v>23.3</v>
      </c>
      <c r="P20" s="221">
        <v>23.3</v>
      </c>
      <c r="Q20" s="221">
        <v>23.3</v>
      </c>
      <c r="R20" s="221">
        <v>23.3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23.3</v>
      </c>
      <c r="AA20" s="221">
        <v>23.3</v>
      </c>
      <c r="AB20" s="221">
        <v>23.3</v>
      </c>
      <c r="AC20" s="221">
        <v>23.3</v>
      </c>
      <c r="AD20" s="221">
        <v>23.3</v>
      </c>
      <c r="AE20" s="221">
        <v>23.3</v>
      </c>
      <c r="AF20" s="221">
        <v>23.3</v>
      </c>
      <c r="AG20" s="229">
        <v>23.5</v>
      </c>
      <c r="AH20" s="226">
        <f t="shared" si="2"/>
        <v>23.4</v>
      </c>
      <c r="AI20" s="227">
        <f t="shared" si="3"/>
        <v>23.3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20</v>
      </c>
      <c r="H23" s="221">
        <v>20</v>
      </c>
      <c r="I23" s="221">
        <v>20</v>
      </c>
      <c r="J23" s="221">
        <v>20</v>
      </c>
      <c r="K23" s="221">
        <v>20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10</v>
      </c>
      <c r="N25" s="221">
        <v>5</v>
      </c>
      <c r="O25" s="221">
        <v>5</v>
      </c>
      <c r="P25" s="221">
        <v>0</v>
      </c>
      <c r="Q25" s="221">
        <v>0</v>
      </c>
      <c r="R25" s="221">
        <v>0</v>
      </c>
      <c r="S25" s="221">
        <v>0</v>
      </c>
      <c r="T25" s="221">
        <v>0</v>
      </c>
      <c r="U25" s="221">
        <v>0</v>
      </c>
      <c r="V25" s="221">
        <v>0</v>
      </c>
      <c r="W25" s="221">
        <v>0</v>
      </c>
      <c r="X25" s="221">
        <v>0</v>
      </c>
      <c r="Y25" s="221">
        <v>20</v>
      </c>
      <c r="Z25" s="221">
        <v>20</v>
      </c>
      <c r="AA25" s="221">
        <v>15</v>
      </c>
      <c r="AB25" s="221">
        <v>15</v>
      </c>
      <c r="AC25" s="221">
        <v>15</v>
      </c>
      <c r="AD25" s="221">
        <v>10</v>
      </c>
      <c r="AE25" s="221">
        <v>0</v>
      </c>
      <c r="AF25" s="221">
        <v>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0</v>
      </c>
      <c r="G26" s="221">
        <v>10</v>
      </c>
      <c r="H26" s="221">
        <v>10</v>
      </c>
      <c r="I26" s="221">
        <v>14</v>
      </c>
      <c r="J26" s="221">
        <v>14</v>
      </c>
      <c r="K26" s="221">
        <v>14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10</v>
      </c>
      <c r="C27" s="221">
        <v>10</v>
      </c>
      <c r="D27" s="221">
        <v>10</v>
      </c>
      <c r="E27" s="221">
        <v>10</v>
      </c>
      <c r="F27" s="221">
        <v>10</v>
      </c>
      <c r="G27" s="221">
        <v>10</v>
      </c>
      <c r="H27" s="221">
        <v>10</v>
      </c>
      <c r="I27" s="221">
        <v>10</v>
      </c>
      <c r="J27" s="221">
        <v>10</v>
      </c>
      <c r="K27" s="221">
        <v>10</v>
      </c>
      <c r="L27" s="221">
        <v>10</v>
      </c>
      <c r="M27" s="221">
        <v>10</v>
      </c>
      <c r="N27" s="221">
        <v>10</v>
      </c>
      <c r="O27" s="221">
        <v>10</v>
      </c>
      <c r="P27" s="221">
        <v>10</v>
      </c>
      <c r="Q27" s="221">
        <v>10</v>
      </c>
      <c r="R27" s="221">
        <v>10</v>
      </c>
      <c r="S27" s="221">
        <v>10</v>
      </c>
      <c r="T27" s="221">
        <v>10</v>
      </c>
      <c r="U27" s="221">
        <v>10</v>
      </c>
      <c r="V27" s="221">
        <v>10</v>
      </c>
      <c r="W27" s="221">
        <v>10</v>
      </c>
      <c r="X27" s="221">
        <v>10</v>
      </c>
      <c r="Y27" s="221">
        <v>10</v>
      </c>
      <c r="Z27" s="221">
        <v>10</v>
      </c>
      <c r="AA27" s="221">
        <v>10</v>
      </c>
      <c r="AB27" s="221">
        <v>10</v>
      </c>
      <c r="AC27" s="221">
        <v>10</v>
      </c>
      <c r="AD27" s="221">
        <v>10</v>
      </c>
      <c r="AE27" s="221">
        <v>5</v>
      </c>
      <c r="AF27" s="221">
        <v>0</v>
      </c>
      <c r="AG27" s="229">
        <v>13.6</v>
      </c>
      <c r="AH27" s="226">
        <f t="shared" si="2"/>
        <v>10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4</v>
      </c>
      <c r="C29" s="221">
        <v>4</v>
      </c>
      <c r="D29" s="221">
        <v>4</v>
      </c>
      <c r="E29" s="221">
        <v>4</v>
      </c>
      <c r="F29" s="221">
        <v>4</v>
      </c>
      <c r="G29" s="221">
        <v>4</v>
      </c>
      <c r="H29" s="221">
        <v>4</v>
      </c>
      <c r="I29" s="221">
        <v>4</v>
      </c>
      <c r="J29" s="221">
        <v>4</v>
      </c>
      <c r="K29" s="221">
        <v>4</v>
      </c>
      <c r="L29" s="221">
        <v>4</v>
      </c>
      <c r="M29" s="221">
        <v>4</v>
      </c>
      <c r="N29" s="221">
        <v>4</v>
      </c>
      <c r="O29" s="221">
        <v>4</v>
      </c>
      <c r="P29" s="221">
        <v>4</v>
      </c>
      <c r="Q29" s="221">
        <v>4</v>
      </c>
      <c r="R29" s="221">
        <v>4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4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10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f>75.5+98</f>
        <v>173.5</v>
      </c>
      <c r="C37" s="239">
        <f>75.7+98.9</f>
        <v>174.60000000000002</v>
      </c>
      <c r="D37" s="239">
        <f>75.7+98.9</f>
        <v>174.60000000000002</v>
      </c>
      <c r="E37" s="237">
        <f>75.8+100.3</f>
        <v>176.1</v>
      </c>
      <c r="F37" s="237">
        <f>61+101.1</f>
        <v>162.1</v>
      </c>
      <c r="G37" s="237">
        <f>72.2+98.2</f>
        <v>170.4</v>
      </c>
      <c r="H37" s="237">
        <f>72.6+98</f>
        <v>170.6</v>
      </c>
      <c r="I37" s="237">
        <f>73.9+97.2</f>
        <v>171.10000000000002</v>
      </c>
      <c r="J37" s="237">
        <f>73.6+98.8</f>
        <v>172.39999999999998</v>
      </c>
      <c r="K37" s="237">
        <f>73.3+98.7</f>
        <v>172</v>
      </c>
      <c r="L37" s="237">
        <f>74.5+97.7</f>
        <v>172.2</v>
      </c>
      <c r="M37" s="237">
        <f>74.5+97.7</f>
        <v>172.2</v>
      </c>
      <c r="N37" s="237">
        <f>172.9</f>
        <v>172.9</v>
      </c>
      <c r="O37" s="237">
        <f>172.9</f>
        <v>172.9</v>
      </c>
      <c r="P37" s="237">
        <f>172.9</f>
        <v>172.9</v>
      </c>
      <c r="Q37" s="237">
        <f>172.9</f>
        <v>172.9</v>
      </c>
      <c r="R37" s="237">
        <f>89.1+44.1</f>
        <v>133.19999999999999</v>
      </c>
      <c r="S37" s="239">
        <f>101+56.7</f>
        <v>157.69999999999999</v>
      </c>
      <c r="T37" s="239">
        <v>162.9</v>
      </c>
      <c r="U37" s="239">
        <f>163</f>
        <v>163</v>
      </c>
      <c r="V37" s="239">
        <f>96.3+60.5</f>
        <v>156.80000000000001</v>
      </c>
      <c r="W37" s="239">
        <f>96.4+60.7</f>
        <v>157.10000000000002</v>
      </c>
      <c r="X37" s="239">
        <v>174.2</v>
      </c>
      <c r="Y37" s="239">
        <f>99.1+76.2</f>
        <v>175.3</v>
      </c>
      <c r="Z37" s="239">
        <f>98.9+76.5</f>
        <v>175.4</v>
      </c>
      <c r="AA37" s="239">
        <f>98.1+76.8</f>
        <v>174.89999999999998</v>
      </c>
      <c r="AB37" s="239">
        <f>77+98.7</f>
        <v>175.7</v>
      </c>
      <c r="AC37" s="239">
        <f>77.3+100.4</f>
        <v>177.7</v>
      </c>
      <c r="AD37" s="239">
        <f>77.3+100.4</f>
        <v>177.7</v>
      </c>
      <c r="AE37" s="239">
        <f>77.3+100.4</f>
        <v>177.7</v>
      </c>
      <c r="AF37" s="239">
        <f>77.3+100.4</f>
        <v>177.7</v>
      </c>
      <c r="AG37" s="235">
        <v>240</v>
      </c>
      <c r="AH37" s="226">
        <f t="shared" si="2"/>
        <v>177.7</v>
      </c>
      <c r="AI37" s="227">
        <f t="shared" si="3"/>
        <v>133.19999999999999</v>
      </c>
      <c r="AK37" s="228"/>
    </row>
    <row r="38" spans="1:88" ht="15.75" thickBot="1" x14ac:dyDescent="0.3">
      <c r="A38" s="240" t="s">
        <v>46</v>
      </c>
      <c r="B38" s="241">
        <f>SUM(B11:B36)</f>
        <v>788.59999999999991</v>
      </c>
      <c r="C38" s="241">
        <f t="shared" ref="C38:AG38" si="4">SUM(C11:C36)</f>
        <v>783.3</v>
      </c>
      <c r="D38" s="241">
        <f t="shared" si="4"/>
        <v>774.3</v>
      </c>
      <c r="E38" s="241">
        <f t="shared" si="4"/>
        <v>764.3</v>
      </c>
      <c r="F38" s="241">
        <f t="shared" si="4"/>
        <v>749.40000000000009</v>
      </c>
      <c r="G38" s="241">
        <f t="shared" si="4"/>
        <v>756.90000000000009</v>
      </c>
      <c r="H38" s="241">
        <f t="shared" si="4"/>
        <v>748.6</v>
      </c>
      <c r="I38" s="241">
        <f t="shared" si="4"/>
        <v>752.6</v>
      </c>
      <c r="J38" s="241">
        <f t="shared" si="4"/>
        <v>752.6</v>
      </c>
      <c r="K38" s="241">
        <f t="shared" si="4"/>
        <v>752.6</v>
      </c>
      <c r="L38" s="241">
        <f t="shared" si="4"/>
        <v>755.5</v>
      </c>
      <c r="M38" s="241">
        <f t="shared" si="4"/>
        <v>730.09999999999991</v>
      </c>
      <c r="N38" s="241">
        <f t="shared" si="4"/>
        <v>699.09999999999991</v>
      </c>
      <c r="O38" s="241">
        <f t="shared" si="4"/>
        <v>699.09999999999991</v>
      </c>
      <c r="P38" s="241">
        <f t="shared" si="4"/>
        <v>684.09999999999991</v>
      </c>
      <c r="Q38" s="241">
        <f t="shared" si="4"/>
        <v>678.09999999999991</v>
      </c>
      <c r="R38" s="241">
        <f t="shared" si="4"/>
        <v>678.09999999999991</v>
      </c>
      <c r="S38" s="241">
        <f t="shared" si="4"/>
        <v>748.8</v>
      </c>
      <c r="T38" s="241">
        <f t="shared" si="4"/>
        <v>748.8</v>
      </c>
      <c r="U38" s="241">
        <f t="shared" si="4"/>
        <v>761.3</v>
      </c>
      <c r="V38" s="241">
        <f t="shared" si="4"/>
        <v>761.3</v>
      </c>
      <c r="W38" s="241">
        <f t="shared" si="4"/>
        <v>761.3</v>
      </c>
      <c r="X38" s="241">
        <f t="shared" si="4"/>
        <v>761.3</v>
      </c>
      <c r="Y38" s="241">
        <f t="shared" si="4"/>
        <v>824.09999999999991</v>
      </c>
      <c r="Z38" s="241">
        <f t="shared" si="4"/>
        <v>840.19999999999993</v>
      </c>
      <c r="AA38" s="241">
        <f t="shared" si="4"/>
        <v>830.19999999999993</v>
      </c>
      <c r="AB38" s="241">
        <f t="shared" si="4"/>
        <v>835.3</v>
      </c>
      <c r="AC38" s="241">
        <f t="shared" si="4"/>
        <v>835.3</v>
      </c>
      <c r="AD38" s="241">
        <f t="shared" si="4"/>
        <v>815.09999999999991</v>
      </c>
      <c r="AE38" s="241">
        <f t="shared" si="4"/>
        <v>768.09999999999991</v>
      </c>
      <c r="AF38" s="241">
        <f t="shared" si="4"/>
        <v>758.09999999999991</v>
      </c>
      <c r="AG38" s="242">
        <f t="shared" si="4"/>
        <v>665.78</v>
      </c>
      <c r="AH38" s="226">
        <f t="shared" si="2"/>
        <v>840.19999999999993</v>
      </c>
      <c r="AI38" s="227">
        <f t="shared" si="3"/>
        <v>678.09999999999991</v>
      </c>
      <c r="AK38" s="228"/>
    </row>
    <row r="39" spans="1:88" x14ac:dyDescent="0.25">
      <c r="A39" s="243" t="s">
        <v>47</v>
      </c>
      <c r="B39" s="221">
        <v>380</v>
      </c>
      <c r="C39" s="221">
        <v>380</v>
      </c>
      <c r="D39" s="221">
        <v>380</v>
      </c>
      <c r="E39" s="221">
        <v>380</v>
      </c>
      <c r="F39" s="221">
        <v>380</v>
      </c>
      <c r="G39" s="221">
        <v>380</v>
      </c>
      <c r="H39" s="221">
        <v>380</v>
      </c>
      <c r="I39" s="221">
        <v>380</v>
      </c>
      <c r="J39" s="221">
        <v>380</v>
      </c>
      <c r="K39" s="221">
        <v>380</v>
      </c>
      <c r="L39" s="221">
        <v>380</v>
      </c>
      <c r="M39" s="221">
        <v>380</v>
      </c>
      <c r="N39" s="221">
        <v>456</v>
      </c>
      <c r="O39" s="221">
        <v>456</v>
      </c>
      <c r="P39" s="221">
        <v>456</v>
      </c>
      <c r="Q39" s="221">
        <v>456</v>
      </c>
      <c r="R39" s="221">
        <v>426</v>
      </c>
      <c r="S39" s="221">
        <v>426</v>
      </c>
      <c r="T39" s="221">
        <v>400</v>
      </c>
      <c r="U39" s="221">
        <v>400</v>
      </c>
      <c r="V39" s="221">
        <v>400</v>
      </c>
      <c r="W39" s="221">
        <v>400</v>
      </c>
      <c r="X39" s="221">
        <v>420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462</v>
      </c>
      <c r="C42" s="241">
        <f t="shared" ref="C42:AG42" si="5">SUM(C39:C41)</f>
        <v>462</v>
      </c>
      <c r="D42" s="241">
        <f t="shared" si="5"/>
        <v>462</v>
      </c>
      <c r="E42" s="241">
        <f t="shared" si="5"/>
        <v>462</v>
      </c>
      <c r="F42" s="241">
        <f t="shared" si="5"/>
        <v>462</v>
      </c>
      <c r="G42" s="241">
        <f t="shared" si="5"/>
        <v>462</v>
      </c>
      <c r="H42" s="241">
        <f t="shared" si="5"/>
        <v>462</v>
      </c>
      <c r="I42" s="241">
        <f t="shared" si="5"/>
        <v>462</v>
      </c>
      <c r="J42" s="241">
        <f>SUM(J39:J41)</f>
        <v>462</v>
      </c>
      <c r="K42" s="241">
        <f t="shared" si="5"/>
        <v>462</v>
      </c>
      <c r="L42" s="241">
        <f t="shared" si="5"/>
        <v>462</v>
      </c>
      <c r="M42" s="241">
        <f t="shared" si="5"/>
        <v>462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508</v>
      </c>
      <c r="S42" s="241">
        <f t="shared" si="5"/>
        <v>508</v>
      </c>
      <c r="T42" s="241">
        <f t="shared" si="5"/>
        <v>482</v>
      </c>
      <c r="U42" s="241">
        <f t="shared" si="5"/>
        <v>482</v>
      </c>
      <c r="V42" s="241">
        <f t="shared" si="5"/>
        <v>482</v>
      </c>
      <c r="W42" s="241">
        <f t="shared" si="5"/>
        <v>482</v>
      </c>
      <c r="X42" s="241">
        <f t="shared" si="5"/>
        <v>502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136.6</v>
      </c>
      <c r="C43" s="221">
        <v>137.69999999999999</v>
      </c>
      <c r="D43" s="221">
        <v>137</v>
      </c>
      <c r="E43" s="221">
        <v>125</v>
      </c>
      <c r="F43" s="221">
        <v>120.9</v>
      </c>
      <c r="G43" s="221">
        <v>111.2</v>
      </c>
      <c r="H43" s="221">
        <v>111.2</v>
      </c>
      <c r="I43" s="221">
        <v>111.2</v>
      </c>
      <c r="J43" s="221">
        <v>111.2</v>
      </c>
      <c r="K43" s="221">
        <v>121.1</v>
      </c>
      <c r="L43" s="221">
        <v>121.4</v>
      </c>
      <c r="M43" s="221">
        <v>136.80000000000001</v>
      </c>
      <c r="N43" s="221">
        <v>137.1</v>
      </c>
      <c r="O43" s="221">
        <v>137.1</v>
      </c>
      <c r="P43" s="221">
        <v>137.4</v>
      </c>
      <c r="Q43" s="221">
        <v>137.4</v>
      </c>
      <c r="R43" s="221">
        <v>131.4</v>
      </c>
      <c r="S43" s="221">
        <v>136.9</v>
      </c>
      <c r="T43" s="221">
        <v>137.80000000000001</v>
      </c>
      <c r="U43" s="221">
        <v>137.9</v>
      </c>
      <c r="V43" s="221">
        <v>138.1</v>
      </c>
      <c r="W43" s="221">
        <v>137.80000000000001</v>
      </c>
      <c r="X43" s="221">
        <v>137.69999999999999</v>
      </c>
      <c r="Y43" s="221">
        <v>137.9</v>
      </c>
      <c r="Z43" s="221">
        <v>138.30000000000001</v>
      </c>
      <c r="AA43" s="221">
        <v>139.1</v>
      </c>
      <c r="AB43" s="221">
        <v>139.1</v>
      </c>
      <c r="AC43" s="221">
        <v>139.19999999999999</v>
      </c>
      <c r="AD43" s="221">
        <v>139.19999999999999</v>
      </c>
      <c r="AE43" s="221">
        <v>139.19999999999999</v>
      </c>
      <c r="AF43" s="221">
        <v>139.19999999999999</v>
      </c>
      <c r="AG43" s="230">
        <v>144</v>
      </c>
      <c r="AH43" s="226">
        <f t="shared" si="2"/>
        <v>139.19999999999999</v>
      </c>
      <c r="AI43" s="227">
        <f t="shared" si="3"/>
        <v>111.2</v>
      </c>
      <c r="AK43" s="228"/>
    </row>
    <row r="44" spans="1:88" x14ac:dyDescent="0.25">
      <c r="A44" s="234" t="s">
        <v>52</v>
      </c>
      <c r="B44" s="245">
        <v>71.8</v>
      </c>
      <c r="C44" s="245">
        <v>70.3</v>
      </c>
      <c r="D44" s="245">
        <v>70.2</v>
      </c>
      <c r="E44" s="245">
        <v>60</v>
      </c>
      <c r="F44" s="245">
        <v>60</v>
      </c>
      <c r="G44" s="245">
        <v>60</v>
      </c>
      <c r="H44" s="245">
        <v>60</v>
      </c>
      <c r="I44" s="245">
        <v>60</v>
      </c>
      <c r="J44" s="245">
        <v>60</v>
      </c>
      <c r="K44" s="245">
        <v>62.5</v>
      </c>
      <c r="L44" s="245">
        <v>69.5</v>
      </c>
      <c r="M44" s="245">
        <v>70</v>
      </c>
      <c r="N44" s="221">
        <v>69.2</v>
      </c>
      <c r="O44" s="221">
        <v>69.2</v>
      </c>
      <c r="P44" s="221">
        <v>71.400000000000006</v>
      </c>
      <c r="Q44" s="221">
        <v>71.400000000000006</v>
      </c>
      <c r="R44" s="221">
        <v>62.4</v>
      </c>
      <c r="S44" s="245">
        <v>61</v>
      </c>
      <c r="T44" s="245">
        <v>65.7</v>
      </c>
      <c r="U44" s="245">
        <v>69.900000000000006</v>
      </c>
      <c r="V44" s="245">
        <v>71.5</v>
      </c>
      <c r="W44" s="245">
        <v>69.2</v>
      </c>
      <c r="X44" s="245">
        <v>71.5</v>
      </c>
      <c r="Y44" s="245">
        <v>70</v>
      </c>
      <c r="Z44" s="245">
        <v>72.400000000000006</v>
      </c>
      <c r="AA44" s="245">
        <v>71.3</v>
      </c>
      <c r="AB44" s="245">
        <v>71.3</v>
      </c>
      <c r="AC44" s="245">
        <v>72.2</v>
      </c>
      <c r="AD44" s="245">
        <v>72.2</v>
      </c>
      <c r="AE44" s="245">
        <v>72.2</v>
      </c>
      <c r="AF44" s="245">
        <v>72.2</v>
      </c>
      <c r="AG44" s="235">
        <v>70</v>
      </c>
      <c r="AH44" s="226">
        <f t="shared" si="2"/>
        <v>72.400000000000006</v>
      </c>
      <c r="AI44" s="227">
        <f t="shared" si="3"/>
        <v>60</v>
      </c>
      <c r="AK44" s="228"/>
    </row>
    <row r="45" spans="1:88" x14ac:dyDescent="0.25">
      <c r="A45" s="234" t="s">
        <v>53</v>
      </c>
      <c r="B45" s="245">
        <v>63.2</v>
      </c>
      <c r="C45" s="245">
        <v>62.9</v>
      </c>
      <c r="D45" s="245">
        <v>63</v>
      </c>
      <c r="E45" s="245">
        <v>63</v>
      </c>
      <c r="F45" s="245">
        <v>56.2</v>
      </c>
      <c r="G45" s="245">
        <v>63</v>
      </c>
      <c r="H45" s="245">
        <v>63</v>
      </c>
      <c r="I45" s="245">
        <v>63</v>
      </c>
      <c r="J45" s="245">
        <v>63</v>
      </c>
      <c r="K45" s="245">
        <v>63.7</v>
      </c>
      <c r="L45" s="245">
        <v>63.6</v>
      </c>
      <c r="M45" s="245">
        <v>63.6</v>
      </c>
      <c r="N45" s="221">
        <v>63.4</v>
      </c>
      <c r="O45" s="221">
        <v>63.4</v>
      </c>
      <c r="P45" s="221">
        <v>63.5</v>
      </c>
      <c r="Q45" s="221">
        <v>63.5</v>
      </c>
      <c r="R45" s="221">
        <v>53.8</v>
      </c>
      <c r="S45" s="245">
        <v>53.1</v>
      </c>
      <c r="T45" s="245">
        <v>55.7</v>
      </c>
      <c r="U45" s="245">
        <v>52.1</v>
      </c>
      <c r="V45" s="245">
        <v>63.7</v>
      </c>
      <c r="W45" s="245">
        <v>52.4</v>
      </c>
      <c r="X45" s="245">
        <v>52.5</v>
      </c>
      <c r="Y45" s="245">
        <v>63.7</v>
      </c>
      <c r="Z45" s="245">
        <v>63.7</v>
      </c>
      <c r="AA45" s="245">
        <v>63.1</v>
      </c>
      <c r="AB45" s="245">
        <v>63.1</v>
      </c>
      <c r="AC45" s="245">
        <v>63.2</v>
      </c>
      <c r="AD45" s="245">
        <v>63.2</v>
      </c>
      <c r="AE45" s="245">
        <v>63.2</v>
      </c>
      <c r="AF45" s="245">
        <v>63.2</v>
      </c>
      <c r="AG45" s="235">
        <v>69</v>
      </c>
      <c r="AH45" s="226">
        <f t="shared" si="2"/>
        <v>63.7</v>
      </c>
      <c r="AI45" s="227">
        <f t="shared" si="3"/>
        <v>52.1</v>
      </c>
      <c r="AK45" s="228"/>
    </row>
    <row r="46" spans="1:88" x14ac:dyDescent="0.25">
      <c r="A46" s="234" t="s">
        <v>54</v>
      </c>
      <c r="B46" s="237">
        <v>60.9</v>
      </c>
      <c r="C46" s="237">
        <v>60.9</v>
      </c>
      <c r="D46" s="237">
        <v>60.9</v>
      </c>
      <c r="E46" s="237">
        <v>50</v>
      </c>
      <c r="F46" s="237">
        <v>49.9</v>
      </c>
      <c r="G46" s="237">
        <v>49.7</v>
      </c>
      <c r="H46" s="237">
        <v>49.7</v>
      </c>
      <c r="I46" s="237">
        <v>49.7</v>
      </c>
      <c r="J46" s="237">
        <v>49.7</v>
      </c>
      <c r="K46" s="237">
        <v>50</v>
      </c>
      <c r="L46" s="237">
        <v>50</v>
      </c>
      <c r="M46" s="237">
        <v>60.9</v>
      </c>
      <c r="N46" s="221">
        <v>60.9</v>
      </c>
      <c r="O46" s="221">
        <v>60.9</v>
      </c>
      <c r="P46" s="221">
        <v>60.9</v>
      </c>
      <c r="Q46" s="221">
        <v>60.9</v>
      </c>
      <c r="R46" s="221">
        <v>40</v>
      </c>
      <c r="S46" s="221">
        <v>0</v>
      </c>
      <c r="T46" s="221">
        <v>0</v>
      </c>
      <c r="U46" s="221">
        <v>0</v>
      </c>
      <c r="V46" s="245">
        <v>0</v>
      </c>
      <c r="W46" s="245">
        <v>26.4</v>
      </c>
      <c r="X46" s="245">
        <v>40</v>
      </c>
      <c r="Y46" s="245">
        <v>60.7</v>
      </c>
      <c r="Z46" s="245">
        <v>61.2</v>
      </c>
      <c r="AA46" s="245">
        <v>61.2</v>
      </c>
      <c r="AB46" s="245">
        <v>61.2</v>
      </c>
      <c r="AC46" s="237">
        <v>60.7</v>
      </c>
      <c r="AD46" s="237">
        <v>60.7</v>
      </c>
      <c r="AE46" s="237">
        <v>60.7</v>
      </c>
      <c r="AF46" s="237">
        <v>60.7</v>
      </c>
      <c r="AG46" s="235">
        <v>60</v>
      </c>
      <c r="AH46" s="226">
        <f t="shared" si="2"/>
        <v>61.2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28.3</v>
      </c>
      <c r="C47" s="237">
        <v>28.4</v>
      </c>
      <c r="D47" s="237">
        <v>28.4</v>
      </c>
      <c r="E47" s="237">
        <v>28.3</v>
      </c>
      <c r="F47" s="237">
        <v>28.3</v>
      </c>
      <c r="G47" s="237">
        <v>28.3</v>
      </c>
      <c r="H47" s="237">
        <v>28.3</v>
      </c>
      <c r="I47" s="237">
        <v>28.3</v>
      </c>
      <c r="J47" s="237">
        <v>28.3</v>
      </c>
      <c r="K47" s="237">
        <v>28.3</v>
      </c>
      <c r="L47" s="237">
        <v>28.3</v>
      </c>
      <c r="M47" s="237">
        <v>28.7</v>
      </c>
      <c r="N47" s="221">
        <v>28.7</v>
      </c>
      <c r="O47" s="221">
        <v>28.7</v>
      </c>
      <c r="P47" s="221">
        <v>28.7</v>
      </c>
      <c r="Q47" s="221">
        <v>28.7</v>
      </c>
      <c r="R47" s="221">
        <v>28.7</v>
      </c>
      <c r="S47" s="221">
        <v>28.7</v>
      </c>
      <c r="T47" s="221">
        <v>28.7</v>
      </c>
      <c r="U47" s="221">
        <v>28.6</v>
      </c>
      <c r="V47" s="245">
        <v>28.6</v>
      </c>
      <c r="W47" s="245">
        <v>28.6</v>
      </c>
      <c r="X47" s="245">
        <v>28.6</v>
      </c>
      <c r="Y47" s="245">
        <v>27</v>
      </c>
      <c r="Z47" s="245">
        <v>28.9</v>
      </c>
      <c r="AA47" s="245">
        <v>28.7</v>
      </c>
      <c r="AB47" s="245">
        <v>28.7</v>
      </c>
      <c r="AC47" s="237">
        <v>28.6</v>
      </c>
      <c r="AD47" s="237">
        <v>28.6</v>
      </c>
      <c r="AE47" s="237">
        <v>28.6</v>
      </c>
      <c r="AF47" s="237">
        <v>28.6</v>
      </c>
      <c r="AG47" s="235">
        <v>30</v>
      </c>
      <c r="AH47" s="226">
        <f t="shared" si="2"/>
        <v>28.9</v>
      </c>
      <c r="AI47" s="227">
        <f t="shared" si="3"/>
        <v>27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8</v>
      </c>
      <c r="N48" s="221">
        <v>8</v>
      </c>
      <c r="O48" s="221">
        <v>8</v>
      </c>
      <c r="P48" s="221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5</v>
      </c>
      <c r="V48" s="221">
        <v>4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</v>
      </c>
      <c r="C49" s="245">
        <v>17.3</v>
      </c>
      <c r="D49" s="245">
        <v>17.2</v>
      </c>
      <c r="E49" s="245">
        <v>17.3</v>
      </c>
      <c r="F49" s="245">
        <v>17.3</v>
      </c>
      <c r="G49" s="245">
        <v>17.3</v>
      </c>
      <c r="H49" s="245">
        <v>17.3</v>
      </c>
      <c r="I49" s="245">
        <v>17.3</v>
      </c>
      <c r="J49" s="245">
        <v>17.3</v>
      </c>
      <c r="K49" s="245">
        <v>17.3</v>
      </c>
      <c r="L49" s="245">
        <v>17.3</v>
      </c>
      <c r="M49" s="245">
        <v>17.3</v>
      </c>
      <c r="N49" s="221">
        <v>17.2</v>
      </c>
      <c r="O49" s="221">
        <v>17.2</v>
      </c>
      <c r="P49" s="221">
        <v>17.2</v>
      </c>
      <c r="Q49" s="221">
        <v>17.2</v>
      </c>
      <c r="R49" s="221">
        <v>17.2</v>
      </c>
      <c r="S49" s="221">
        <v>16.2</v>
      </c>
      <c r="T49" s="221">
        <v>16.100000000000001</v>
      </c>
      <c r="U49" s="221">
        <v>16.3</v>
      </c>
      <c r="V49" s="221">
        <v>16.3</v>
      </c>
      <c r="W49" s="221">
        <v>16.3</v>
      </c>
      <c r="X49" s="221">
        <v>17</v>
      </c>
      <c r="Y49" s="221">
        <v>17</v>
      </c>
      <c r="Z49" s="221">
        <v>17</v>
      </c>
      <c r="AA49" s="221">
        <v>17</v>
      </c>
      <c r="AB49" s="221">
        <v>17</v>
      </c>
      <c r="AC49" s="221">
        <v>17</v>
      </c>
      <c r="AD49" s="221">
        <v>17</v>
      </c>
      <c r="AE49" s="221">
        <v>17</v>
      </c>
      <c r="AF49" s="221">
        <v>17</v>
      </c>
      <c r="AG49" s="235">
        <v>24</v>
      </c>
      <c r="AH49" s="226">
        <f t="shared" si="2"/>
        <v>17.3</v>
      </c>
      <c r="AI49" s="227">
        <f t="shared" si="3"/>
        <v>16.100000000000001</v>
      </c>
      <c r="AK49" s="228"/>
    </row>
    <row r="50" spans="1:41" x14ac:dyDescent="0.25">
      <c r="A50" s="234" t="s">
        <v>58</v>
      </c>
      <c r="B50" s="245">
        <v>2.5</v>
      </c>
      <c r="C50" s="245">
        <v>2.5</v>
      </c>
      <c r="D50" s="245">
        <v>2.5</v>
      </c>
      <c r="E50" s="245">
        <v>2.5</v>
      </c>
      <c r="F50" s="245">
        <v>2.5</v>
      </c>
      <c r="G50" s="245">
        <v>2.5</v>
      </c>
      <c r="H50" s="245">
        <v>2.5</v>
      </c>
      <c r="I50" s="245">
        <v>2.5</v>
      </c>
      <c r="J50" s="245">
        <v>2.5</v>
      </c>
      <c r="K50" s="245">
        <v>2.5</v>
      </c>
      <c r="L50" s="245">
        <v>2.5</v>
      </c>
      <c r="M50" s="245">
        <v>2.5</v>
      </c>
      <c r="N50" s="221">
        <v>2.5</v>
      </c>
      <c r="O50" s="221">
        <v>2.5</v>
      </c>
      <c r="P50" s="221">
        <v>2.5</v>
      </c>
      <c r="Q50" s="221">
        <v>2.5</v>
      </c>
      <c r="R50" s="221">
        <v>2.5</v>
      </c>
      <c r="S50" s="221">
        <v>2.5</v>
      </c>
      <c r="T50" s="221">
        <v>2.5</v>
      </c>
      <c r="U50" s="221">
        <v>2.5</v>
      </c>
      <c r="V50" s="221">
        <v>2.5</v>
      </c>
      <c r="W50" s="221">
        <v>2.5</v>
      </c>
      <c r="X50" s="221">
        <v>2.5</v>
      </c>
      <c r="Y50" s="221">
        <v>2.5</v>
      </c>
      <c r="Z50" s="221">
        <v>2.5</v>
      </c>
      <c r="AA50" s="221">
        <v>2.5</v>
      </c>
      <c r="AB50" s="221">
        <v>2.5</v>
      </c>
      <c r="AC50" s="221">
        <v>2.5</v>
      </c>
      <c r="AD50" s="221">
        <v>2.5</v>
      </c>
      <c r="AE50" s="221">
        <v>2.5</v>
      </c>
      <c r="AF50" s="221">
        <v>2.5</v>
      </c>
      <c r="AG50" s="235">
        <v>15</v>
      </c>
      <c r="AH50" s="226">
        <f t="shared" si="2"/>
        <v>2.5</v>
      </c>
      <c r="AI50" s="227">
        <f t="shared" si="3"/>
        <v>2.5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13.1</v>
      </c>
      <c r="C51" s="245">
        <v>13</v>
      </c>
      <c r="D51" s="245">
        <v>13</v>
      </c>
      <c r="E51" s="245">
        <v>13.3</v>
      </c>
      <c r="F51" s="245">
        <v>13.3</v>
      </c>
      <c r="G51" s="245">
        <v>13.3</v>
      </c>
      <c r="H51" s="245">
        <v>13.3</v>
      </c>
      <c r="I51" s="245">
        <v>13.3</v>
      </c>
      <c r="J51" s="245">
        <v>13.3</v>
      </c>
      <c r="K51" s="245">
        <v>13.3</v>
      </c>
      <c r="L51" s="245">
        <v>13.3</v>
      </c>
      <c r="M51" s="245">
        <v>13.3</v>
      </c>
      <c r="N51" s="221">
        <v>13.3</v>
      </c>
      <c r="O51" s="221">
        <v>13.3</v>
      </c>
      <c r="P51" s="221">
        <v>13.3</v>
      </c>
      <c r="Q51" s="221">
        <v>13.3</v>
      </c>
      <c r="R51" s="221">
        <v>13.3</v>
      </c>
      <c r="S51" s="221">
        <v>12.4</v>
      </c>
      <c r="T51" s="221">
        <v>12.4</v>
      </c>
      <c r="U51" s="221">
        <v>12.4</v>
      </c>
      <c r="V51" s="221">
        <v>12.4</v>
      </c>
      <c r="W51" s="221">
        <v>12.4</v>
      </c>
      <c r="X51" s="221">
        <v>12.4</v>
      </c>
      <c r="Y51" s="221">
        <v>12.4</v>
      </c>
      <c r="Z51" s="221">
        <v>12.4</v>
      </c>
      <c r="AA51" s="221">
        <v>12.4</v>
      </c>
      <c r="AB51" s="221">
        <v>12.4</v>
      </c>
      <c r="AC51" s="221">
        <v>12.4</v>
      </c>
      <c r="AD51" s="221">
        <v>12.4</v>
      </c>
      <c r="AE51" s="221">
        <v>12.4</v>
      </c>
      <c r="AF51" s="221">
        <v>12.4</v>
      </c>
      <c r="AG51" s="235">
        <v>14.1</v>
      </c>
      <c r="AH51" s="226">
        <f t="shared" si="2"/>
        <v>13.3</v>
      </c>
      <c r="AI51" s="227">
        <f t="shared" si="3"/>
        <v>12.4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13.7</v>
      </c>
      <c r="C52" s="245">
        <v>13.7</v>
      </c>
      <c r="D52" s="245">
        <v>14</v>
      </c>
      <c r="E52" s="245">
        <v>10</v>
      </c>
      <c r="F52" s="245">
        <v>10</v>
      </c>
      <c r="G52" s="245">
        <v>10</v>
      </c>
      <c r="H52" s="245">
        <v>10</v>
      </c>
      <c r="I52" s="245">
        <v>10</v>
      </c>
      <c r="J52" s="245">
        <v>14</v>
      </c>
      <c r="K52" s="245">
        <v>14</v>
      </c>
      <c r="L52" s="245">
        <v>14</v>
      </c>
      <c r="M52" s="245">
        <v>14</v>
      </c>
      <c r="N52" s="221">
        <v>14.2</v>
      </c>
      <c r="O52" s="221">
        <v>14.2</v>
      </c>
      <c r="P52" s="221">
        <v>14.2</v>
      </c>
      <c r="Q52" s="221">
        <v>14.2</v>
      </c>
      <c r="R52" s="221">
        <v>14.2</v>
      </c>
      <c r="S52" s="221">
        <v>14.2</v>
      </c>
      <c r="T52" s="221">
        <v>14.2</v>
      </c>
      <c r="U52" s="221">
        <v>14.2</v>
      </c>
      <c r="V52" s="221">
        <v>14.2</v>
      </c>
      <c r="W52" s="221">
        <v>14.2</v>
      </c>
      <c r="X52" s="221">
        <v>14.2</v>
      </c>
      <c r="Y52" s="221">
        <v>14.2</v>
      </c>
      <c r="Z52" s="221">
        <v>14.2</v>
      </c>
      <c r="AA52" s="221">
        <v>14.2</v>
      </c>
      <c r="AB52" s="221">
        <v>14.2</v>
      </c>
      <c r="AC52" s="221">
        <v>14.2</v>
      </c>
      <c r="AD52" s="221">
        <v>14.2</v>
      </c>
      <c r="AE52" s="221">
        <v>14.2</v>
      </c>
      <c r="AF52" s="221">
        <v>14.2</v>
      </c>
      <c r="AG52" s="235">
        <v>14</v>
      </c>
      <c r="AH52" s="226">
        <f t="shared" si="2"/>
        <v>14.2</v>
      </c>
      <c r="AI52" s="227">
        <f t="shared" si="3"/>
        <v>10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21">
        <v>10</v>
      </c>
      <c r="O53" s="221">
        <v>10</v>
      </c>
      <c r="P53" s="221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427.14</v>
      </c>
      <c r="C56" s="241">
        <f t="shared" ref="C56:AG56" si="6">SUM(C43:C55)</f>
        <v>426.43999999999994</v>
      </c>
      <c r="D56" s="241">
        <f t="shared" si="6"/>
        <v>425.93999999999994</v>
      </c>
      <c r="E56" s="241">
        <f t="shared" si="6"/>
        <v>389.14000000000004</v>
      </c>
      <c r="F56" s="241">
        <f t="shared" si="6"/>
        <v>378.14000000000004</v>
      </c>
      <c r="G56" s="241">
        <f t="shared" si="6"/>
        <v>375.04</v>
      </c>
      <c r="H56" s="241">
        <f t="shared" si="6"/>
        <v>375.04</v>
      </c>
      <c r="I56" s="241">
        <f t="shared" si="6"/>
        <v>375.04</v>
      </c>
      <c r="J56" s="241">
        <f t="shared" si="6"/>
        <v>379.04</v>
      </c>
      <c r="K56" s="241">
        <f t="shared" si="6"/>
        <v>392.44000000000005</v>
      </c>
      <c r="L56" s="241">
        <f t="shared" si="6"/>
        <v>399.64000000000004</v>
      </c>
      <c r="M56" s="241">
        <f t="shared" si="6"/>
        <v>434.84000000000003</v>
      </c>
      <c r="N56" s="241">
        <f t="shared" si="6"/>
        <v>434.23999999999995</v>
      </c>
      <c r="O56" s="241">
        <f t="shared" si="6"/>
        <v>434.23999999999995</v>
      </c>
      <c r="P56" s="241">
        <f t="shared" si="6"/>
        <v>436.84</v>
      </c>
      <c r="Q56" s="241">
        <f t="shared" si="6"/>
        <v>436.84</v>
      </c>
      <c r="R56" s="241">
        <f t="shared" si="6"/>
        <v>391.24</v>
      </c>
      <c r="S56" s="241">
        <f t="shared" si="6"/>
        <v>352.73999999999995</v>
      </c>
      <c r="T56" s="241">
        <f t="shared" si="6"/>
        <v>360.84</v>
      </c>
      <c r="U56" s="241">
        <f t="shared" si="6"/>
        <v>358.64000000000004</v>
      </c>
      <c r="V56" s="241">
        <f t="shared" si="6"/>
        <v>371.04</v>
      </c>
      <c r="W56" s="241">
        <f t="shared" si="6"/>
        <v>379.53999999999996</v>
      </c>
      <c r="X56" s="241">
        <f t="shared" si="6"/>
        <v>396.14</v>
      </c>
      <c r="Y56" s="241">
        <f t="shared" si="6"/>
        <v>425.14</v>
      </c>
      <c r="Z56" s="241">
        <f t="shared" si="6"/>
        <v>430.34</v>
      </c>
      <c r="AA56" s="241">
        <f t="shared" si="6"/>
        <v>429.23999999999995</v>
      </c>
      <c r="AB56" s="241">
        <f t="shared" si="6"/>
        <v>429.23999999999995</v>
      </c>
      <c r="AC56" s="241">
        <f t="shared" si="6"/>
        <v>429.73999999999995</v>
      </c>
      <c r="AD56" s="241">
        <f t="shared" si="6"/>
        <v>429.73999999999995</v>
      </c>
      <c r="AE56" s="241">
        <f t="shared" si="6"/>
        <v>429.73999999999995</v>
      </c>
      <c r="AF56" s="241">
        <f t="shared" si="6"/>
        <v>429.73999999999995</v>
      </c>
      <c r="AG56" s="242">
        <f t="shared" si="6"/>
        <v>489.91</v>
      </c>
      <c r="AH56" s="226">
        <f t="shared" si="2"/>
        <v>436.84</v>
      </c>
      <c r="AI56" s="227">
        <f t="shared" si="3"/>
        <v>352.73999999999995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1</v>
      </c>
      <c r="U59" s="247">
        <v>0</v>
      </c>
      <c r="V59" s="247">
        <v>0</v>
      </c>
      <c r="W59" s="247">
        <v>1</v>
      </c>
      <c r="X59" s="247">
        <v>1</v>
      </c>
      <c r="Y59" s="247">
        <v>0</v>
      </c>
      <c r="Z59" s="247">
        <v>0</v>
      </c>
      <c r="AA59" s="247">
        <v>0</v>
      </c>
      <c r="AB59" s="247">
        <v>0</v>
      </c>
      <c r="AC59" s="247">
        <v>6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6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1</v>
      </c>
      <c r="U60" s="241">
        <f t="shared" si="7"/>
        <v>0</v>
      </c>
      <c r="V60" s="241">
        <f t="shared" si="7"/>
        <v>0</v>
      </c>
      <c r="W60" s="241">
        <f t="shared" si="7"/>
        <v>1</v>
      </c>
      <c r="X60" s="241">
        <f t="shared" si="7"/>
        <v>1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6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6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2.8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0</v>
      </c>
      <c r="T61" s="221">
        <v>0</v>
      </c>
      <c r="U61" s="221">
        <v>0</v>
      </c>
      <c r="V61" s="221">
        <v>0</v>
      </c>
      <c r="W61" s="221">
        <v>0</v>
      </c>
      <c r="X61" s="221">
        <v>0</v>
      </c>
      <c r="Y61" s="221">
        <v>7.7</v>
      </c>
      <c r="Z61" s="221">
        <v>15</v>
      </c>
      <c r="AA61" s="221">
        <v>14</v>
      </c>
      <c r="AB61" s="221">
        <v>11.8</v>
      </c>
      <c r="AC61" s="221">
        <v>0</v>
      </c>
      <c r="AD61" s="221">
        <v>0</v>
      </c>
      <c r="AE61" s="221">
        <v>0</v>
      </c>
      <c r="AF61" s="221">
        <v>0</v>
      </c>
      <c r="AG61" s="230"/>
      <c r="AH61" s="226">
        <f t="shared" si="2"/>
        <v>15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-340.2</v>
      </c>
      <c r="C63" s="245">
        <v>-345.6</v>
      </c>
      <c r="D63" s="245">
        <v>-369</v>
      </c>
      <c r="E63" s="245">
        <v>-364.9</v>
      </c>
      <c r="F63" s="245">
        <v>-358.9</v>
      </c>
      <c r="G63" s="245">
        <v>-403.3</v>
      </c>
      <c r="H63" s="245">
        <v>-393</v>
      </c>
      <c r="I63" s="245">
        <v>-411</v>
      </c>
      <c r="J63" s="245">
        <v>-414.3</v>
      </c>
      <c r="K63" s="245">
        <v>-409</v>
      </c>
      <c r="L63" s="245">
        <v>-391</v>
      </c>
      <c r="M63" s="245">
        <v>-390</v>
      </c>
      <c r="N63" s="245">
        <v>-409</v>
      </c>
      <c r="O63" s="245">
        <v>-410</v>
      </c>
      <c r="P63" s="245">
        <v>-437</v>
      </c>
      <c r="Q63" s="245">
        <v>-446</v>
      </c>
      <c r="R63" s="245">
        <v>-430</v>
      </c>
      <c r="S63" s="245">
        <v>-405</v>
      </c>
      <c r="T63" s="245">
        <v>-440.2</v>
      </c>
      <c r="U63" s="245">
        <v>-404.5</v>
      </c>
      <c r="V63" s="245">
        <v>-394.6</v>
      </c>
      <c r="W63" s="245">
        <v>-354.2</v>
      </c>
      <c r="X63" s="245">
        <v>-407.2</v>
      </c>
      <c r="Y63" s="245">
        <v>-364.2</v>
      </c>
      <c r="Z63" s="245">
        <v>-332.5</v>
      </c>
      <c r="AA63" s="245">
        <v>-354.8</v>
      </c>
      <c r="AB63" s="245">
        <v>-371</v>
      </c>
      <c r="AC63" s="245">
        <v>-395</v>
      </c>
      <c r="AD63" s="245">
        <v>-374</v>
      </c>
      <c r="AE63" s="245">
        <v>-412</v>
      </c>
      <c r="AF63" s="245">
        <v>-437</v>
      </c>
      <c r="AG63" s="255"/>
      <c r="AH63" s="226">
        <f t="shared" si="2"/>
        <v>-332.5</v>
      </c>
      <c r="AI63" s="227">
        <f t="shared" si="3"/>
        <v>-446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4</v>
      </c>
      <c r="AD66" s="257">
        <v>4</v>
      </c>
      <c r="AE66" s="257">
        <v>4</v>
      </c>
      <c r="AF66" s="257">
        <v>4</v>
      </c>
      <c r="AG66" s="255"/>
      <c r="AH66" s="226">
        <f t="shared" si="2"/>
        <v>4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2.8</v>
      </c>
      <c r="C72" s="241">
        <f t="shared" ref="C72:L72" si="8">SUMIF(C61:C71,"&gt;0")</f>
        <v>0</v>
      </c>
      <c r="D72" s="241">
        <f t="shared" si="8"/>
        <v>0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0</v>
      </c>
      <c r="S72" s="241">
        <f t="shared" si="9"/>
        <v>0</v>
      </c>
      <c r="T72" s="241">
        <f t="shared" si="9"/>
        <v>0</v>
      </c>
      <c r="U72" s="241">
        <f t="shared" si="9"/>
        <v>0</v>
      </c>
      <c r="V72" s="241">
        <f t="shared" si="9"/>
        <v>0</v>
      </c>
      <c r="W72" s="241">
        <f t="shared" si="9"/>
        <v>0</v>
      </c>
      <c r="X72" s="241">
        <f t="shared" si="9"/>
        <v>0</v>
      </c>
      <c r="Y72" s="241">
        <f t="shared" si="9"/>
        <v>7.7</v>
      </c>
      <c r="Z72" s="241">
        <f t="shared" si="9"/>
        <v>15</v>
      </c>
      <c r="AA72" s="241">
        <f t="shared" si="9"/>
        <v>14</v>
      </c>
      <c r="AB72" s="241">
        <f t="shared" si="9"/>
        <v>11.8</v>
      </c>
      <c r="AC72" s="241">
        <f t="shared" si="9"/>
        <v>4</v>
      </c>
      <c r="AD72" s="241">
        <f t="shared" si="9"/>
        <v>4</v>
      </c>
      <c r="AE72" s="241">
        <f t="shared" si="9"/>
        <v>4</v>
      </c>
      <c r="AF72" s="241">
        <f t="shared" si="9"/>
        <v>4</v>
      </c>
      <c r="AG72" s="261">
        <f>SUM(AG61:AG71)</f>
        <v>0</v>
      </c>
      <c r="AH72" s="226">
        <f t="shared" si="2"/>
        <v>15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1680.5399999999997</v>
      </c>
      <c r="C77" s="263">
        <f t="shared" ref="C77:AF77" si="10">C38+C42+C60+C56+C72+C76</f>
        <v>1671.7399999999998</v>
      </c>
      <c r="D77" s="263">
        <f t="shared" si="10"/>
        <v>1662.2399999999998</v>
      </c>
      <c r="E77" s="263">
        <f t="shared" si="10"/>
        <v>1615.44</v>
      </c>
      <c r="F77" s="263">
        <f t="shared" si="10"/>
        <v>1589.5400000000002</v>
      </c>
      <c r="G77" s="263">
        <f t="shared" si="10"/>
        <v>1593.94</v>
      </c>
      <c r="H77" s="263">
        <f t="shared" si="10"/>
        <v>1585.6399999999999</v>
      </c>
      <c r="I77" s="263">
        <f t="shared" si="10"/>
        <v>1589.6399999999999</v>
      </c>
      <c r="J77" s="263">
        <f t="shared" si="10"/>
        <v>1593.6399999999999</v>
      </c>
      <c r="K77" s="263">
        <f t="shared" si="10"/>
        <v>1607.04</v>
      </c>
      <c r="L77" s="263">
        <f t="shared" si="10"/>
        <v>1617.14</v>
      </c>
      <c r="M77" s="263">
        <f t="shared" si="10"/>
        <v>1626.94</v>
      </c>
      <c r="N77" s="263">
        <f t="shared" si="10"/>
        <v>1671.34</v>
      </c>
      <c r="O77" s="263">
        <f t="shared" si="10"/>
        <v>1671.34</v>
      </c>
      <c r="P77" s="263">
        <f t="shared" si="10"/>
        <v>1658.9399999999998</v>
      </c>
      <c r="Q77" s="263">
        <f t="shared" si="10"/>
        <v>1652.9399999999998</v>
      </c>
      <c r="R77" s="263">
        <f t="shared" si="10"/>
        <v>1577.34</v>
      </c>
      <c r="S77" s="263">
        <f t="shared" si="10"/>
        <v>1609.54</v>
      </c>
      <c r="T77" s="263">
        <f t="shared" si="10"/>
        <v>1592.6399999999999</v>
      </c>
      <c r="U77" s="263">
        <f t="shared" si="10"/>
        <v>1601.94</v>
      </c>
      <c r="V77" s="263">
        <f t="shared" si="10"/>
        <v>1614.34</v>
      </c>
      <c r="W77" s="263">
        <f t="shared" si="10"/>
        <v>1623.84</v>
      </c>
      <c r="X77" s="263">
        <f t="shared" si="10"/>
        <v>1660.44</v>
      </c>
      <c r="Y77" s="263">
        <f t="shared" si="10"/>
        <v>1794.9399999999998</v>
      </c>
      <c r="Z77" s="263">
        <f t="shared" si="10"/>
        <v>1823.5399999999997</v>
      </c>
      <c r="AA77" s="263">
        <f t="shared" si="10"/>
        <v>1811.4399999999998</v>
      </c>
      <c r="AB77" s="263">
        <f t="shared" si="10"/>
        <v>1814.34</v>
      </c>
      <c r="AC77" s="263">
        <f t="shared" si="10"/>
        <v>1813.04</v>
      </c>
      <c r="AD77" s="263">
        <f t="shared" si="10"/>
        <v>1786.84</v>
      </c>
      <c r="AE77" s="263">
        <f t="shared" si="10"/>
        <v>1739.84</v>
      </c>
      <c r="AF77" s="263">
        <f t="shared" si="10"/>
        <v>1729.84</v>
      </c>
      <c r="AG77" s="242">
        <f>AG38+AG42+AG60+AG56+AG72+AG76</f>
        <v>1855.1900000000003</v>
      </c>
      <c r="AH77" s="226">
        <f t="shared" si="2"/>
        <v>1823.5399999999997</v>
      </c>
      <c r="AI77" s="227">
        <f t="shared" si="3"/>
        <v>1577.34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1680.5399999999997</v>
      </c>
      <c r="C79" s="263">
        <f t="shared" ref="C79:AF79" si="11">C77+C78</f>
        <v>1671.7399999999998</v>
      </c>
      <c r="D79" s="263">
        <f t="shared" si="11"/>
        <v>1662.2399999999998</v>
      </c>
      <c r="E79" s="263">
        <f t="shared" si="11"/>
        <v>1615.44</v>
      </c>
      <c r="F79" s="263">
        <f t="shared" si="11"/>
        <v>1589.5400000000002</v>
      </c>
      <c r="G79" s="263">
        <f t="shared" si="11"/>
        <v>1593.94</v>
      </c>
      <c r="H79" s="263">
        <f t="shared" si="11"/>
        <v>1585.6399999999999</v>
      </c>
      <c r="I79" s="263">
        <f t="shared" si="11"/>
        <v>1589.6399999999999</v>
      </c>
      <c r="J79" s="263">
        <f t="shared" si="11"/>
        <v>1593.6399999999999</v>
      </c>
      <c r="K79" s="263">
        <f t="shared" si="11"/>
        <v>1607.04</v>
      </c>
      <c r="L79" s="263">
        <f t="shared" si="11"/>
        <v>1617.14</v>
      </c>
      <c r="M79" s="263">
        <f t="shared" si="11"/>
        <v>1626.94</v>
      </c>
      <c r="N79" s="263">
        <f t="shared" si="11"/>
        <v>1671.34</v>
      </c>
      <c r="O79" s="263">
        <f t="shared" si="11"/>
        <v>1671.34</v>
      </c>
      <c r="P79" s="263">
        <f t="shared" si="11"/>
        <v>1658.9399999999998</v>
      </c>
      <c r="Q79" s="263">
        <f t="shared" si="11"/>
        <v>1652.9399999999998</v>
      </c>
      <c r="R79" s="263">
        <f t="shared" si="11"/>
        <v>1577.34</v>
      </c>
      <c r="S79" s="263">
        <f t="shared" si="11"/>
        <v>1609.54</v>
      </c>
      <c r="T79" s="263">
        <f t="shared" si="11"/>
        <v>1592.6399999999999</v>
      </c>
      <c r="U79" s="263">
        <f t="shared" si="11"/>
        <v>1601.94</v>
      </c>
      <c r="V79" s="263">
        <f t="shared" si="11"/>
        <v>1614.34</v>
      </c>
      <c r="W79" s="263">
        <f t="shared" si="11"/>
        <v>1623.84</v>
      </c>
      <c r="X79" s="263">
        <f t="shared" si="11"/>
        <v>1660.44</v>
      </c>
      <c r="Y79" s="263">
        <f t="shared" si="11"/>
        <v>1794.9399999999998</v>
      </c>
      <c r="Z79" s="263">
        <f t="shared" si="11"/>
        <v>1823.5399999999997</v>
      </c>
      <c r="AA79" s="263">
        <f t="shared" si="11"/>
        <v>1811.4399999999998</v>
      </c>
      <c r="AB79" s="263">
        <f t="shared" si="11"/>
        <v>1814.34</v>
      </c>
      <c r="AC79" s="263">
        <f t="shared" si="11"/>
        <v>1813.04</v>
      </c>
      <c r="AD79" s="263">
        <f t="shared" si="11"/>
        <v>1786.84</v>
      </c>
      <c r="AE79" s="263">
        <f t="shared" si="11"/>
        <v>1739.84</v>
      </c>
      <c r="AF79" s="263">
        <f t="shared" si="11"/>
        <v>1729.84</v>
      </c>
      <c r="AG79" s="261">
        <f>AG76+AG72+AG60+AG56+AG38+AG78</f>
        <v>1317.0900000000001</v>
      </c>
      <c r="AH79" s="226">
        <f t="shared" si="2"/>
        <v>1823.5399999999997</v>
      </c>
      <c r="AI79" s="227">
        <f t="shared" si="3"/>
        <v>1577.34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>B79-B87</f>
        <v>1340.3399999999997</v>
      </c>
      <c r="C80" s="263">
        <f t="shared" ref="C80:AF80" si="12">C79-C87</f>
        <v>1326.1399999999999</v>
      </c>
      <c r="D80" s="263">
        <f t="shared" si="12"/>
        <v>1293.2399999999998</v>
      </c>
      <c r="E80" s="263">
        <f t="shared" si="12"/>
        <v>1250.54</v>
      </c>
      <c r="F80" s="263">
        <f t="shared" si="12"/>
        <v>1230.6400000000003</v>
      </c>
      <c r="G80" s="263">
        <f t="shared" si="12"/>
        <v>1190.6400000000001</v>
      </c>
      <c r="H80" s="263">
        <f t="shared" si="12"/>
        <v>1192.6399999999999</v>
      </c>
      <c r="I80" s="263">
        <f t="shared" si="12"/>
        <v>1178.6399999999999</v>
      </c>
      <c r="J80" s="263">
        <f t="shared" si="12"/>
        <v>1179.3399999999999</v>
      </c>
      <c r="K80" s="263">
        <f t="shared" si="12"/>
        <v>1198.04</v>
      </c>
      <c r="L80" s="263">
        <f t="shared" si="12"/>
        <v>1226.1400000000001</v>
      </c>
      <c r="M80" s="263">
        <f t="shared" si="12"/>
        <v>1236.94</v>
      </c>
      <c r="N80" s="263">
        <f t="shared" si="12"/>
        <v>1262.3399999999999</v>
      </c>
      <c r="O80" s="263">
        <f t="shared" si="12"/>
        <v>1261.3399999999999</v>
      </c>
      <c r="P80" s="263">
        <f t="shared" si="12"/>
        <v>1221.9399999999998</v>
      </c>
      <c r="Q80" s="263">
        <f t="shared" si="12"/>
        <v>1206.9399999999998</v>
      </c>
      <c r="R80" s="263">
        <f t="shared" si="12"/>
        <v>1147.3399999999999</v>
      </c>
      <c r="S80" s="263">
        <f t="shared" si="12"/>
        <v>1204.54</v>
      </c>
      <c r="T80" s="263">
        <f t="shared" si="12"/>
        <v>1152.4399999999998</v>
      </c>
      <c r="U80" s="263">
        <f t="shared" si="12"/>
        <v>1197.44</v>
      </c>
      <c r="V80" s="263">
        <f t="shared" si="12"/>
        <v>1219.7399999999998</v>
      </c>
      <c r="W80" s="263">
        <f t="shared" si="12"/>
        <v>1269.6399999999999</v>
      </c>
      <c r="X80" s="263">
        <f t="shared" si="12"/>
        <v>1253.24</v>
      </c>
      <c r="Y80" s="263">
        <f t="shared" si="12"/>
        <v>1430.7399999999998</v>
      </c>
      <c r="Z80" s="263">
        <f t="shared" si="12"/>
        <v>1491.0399999999997</v>
      </c>
      <c r="AA80" s="263">
        <f t="shared" si="12"/>
        <v>1456.6399999999999</v>
      </c>
      <c r="AB80" s="263">
        <f t="shared" si="12"/>
        <v>1443.34</v>
      </c>
      <c r="AC80" s="263">
        <f t="shared" si="12"/>
        <v>1418.04</v>
      </c>
      <c r="AD80" s="263">
        <f t="shared" si="12"/>
        <v>1412.84</v>
      </c>
      <c r="AE80" s="263">
        <f t="shared" si="12"/>
        <v>1327.84</v>
      </c>
      <c r="AF80" s="263">
        <f t="shared" si="12"/>
        <v>1292.8399999999999</v>
      </c>
      <c r="AG80" s="261"/>
      <c r="AH80" s="226">
        <f t="shared" ref="AH80:AH97" si="13">MAX(B80:AF80)</f>
        <v>1491.0399999999997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340.2</v>
      </c>
      <c r="C84" s="256">
        <f t="shared" ref="C84:AF84" si="18">IF(C63&lt;0,C63*-1,0)</f>
        <v>345.6</v>
      </c>
      <c r="D84" s="256">
        <f t="shared" si="18"/>
        <v>369</v>
      </c>
      <c r="E84" s="256">
        <f t="shared" si="18"/>
        <v>364.9</v>
      </c>
      <c r="F84" s="256">
        <f t="shared" si="18"/>
        <v>358.9</v>
      </c>
      <c r="G84" s="256">
        <f t="shared" si="18"/>
        <v>403.3</v>
      </c>
      <c r="H84" s="256">
        <f t="shared" si="18"/>
        <v>393</v>
      </c>
      <c r="I84" s="256">
        <f t="shared" si="18"/>
        <v>411</v>
      </c>
      <c r="J84" s="256">
        <f t="shared" si="18"/>
        <v>414.3</v>
      </c>
      <c r="K84" s="256">
        <f t="shared" si="18"/>
        <v>409</v>
      </c>
      <c r="L84" s="256">
        <f t="shared" si="18"/>
        <v>391</v>
      </c>
      <c r="M84" s="256">
        <f t="shared" si="18"/>
        <v>390</v>
      </c>
      <c r="N84" s="256">
        <f t="shared" si="18"/>
        <v>409</v>
      </c>
      <c r="O84" s="256">
        <f t="shared" si="18"/>
        <v>410</v>
      </c>
      <c r="P84" s="256">
        <f t="shared" si="18"/>
        <v>437</v>
      </c>
      <c r="Q84" s="256">
        <f t="shared" si="18"/>
        <v>446</v>
      </c>
      <c r="R84" s="256">
        <f t="shared" si="18"/>
        <v>430</v>
      </c>
      <c r="S84" s="256">
        <f t="shared" si="18"/>
        <v>405</v>
      </c>
      <c r="T84" s="256">
        <f t="shared" si="18"/>
        <v>440.2</v>
      </c>
      <c r="U84" s="256">
        <f t="shared" si="18"/>
        <v>404.5</v>
      </c>
      <c r="V84" s="256">
        <f t="shared" si="18"/>
        <v>394.6</v>
      </c>
      <c r="W84" s="256">
        <f t="shared" si="18"/>
        <v>354.2</v>
      </c>
      <c r="X84" s="256">
        <f t="shared" si="18"/>
        <v>407.2</v>
      </c>
      <c r="Y84" s="256">
        <f t="shared" si="18"/>
        <v>364.2</v>
      </c>
      <c r="Z84" s="256">
        <f t="shared" si="18"/>
        <v>332.5</v>
      </c>
      <c r="AA84" s="256">
        <f t="shared" si="18"/>
        <v>354.8</v>
      </c>
      <c r="AB84" s="256">
        <f t="shared" si="18"/>
        <v>371</v>
      </c>
      <c r="AC84" s="256">
        <f t="shared" si="18"/>
        <v>395</v>
      </c>
      <c r="AD84" s="256">
        <f t="shared" si="18"/>
        <v>374</v>
      </c>
      <c r="AE84" s="256">
        <f t="shared" si="18"/>
        <v>412</v>
      </c>
      <c r="AF84" s="256">
        <f t="shared" si="18"/>
        <v>437</v>
      </c>
      <c r="AG84" s="266"/>
      <c r="AH84" s="226">
        <f t="shared" si="13"/>
        <v>446</v>
      </c>
      <c r="AI84" s="227">
        <f t="shared" si="15"/>
        <v>332.5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340.2</v>
      </c>
      <c r="C87" s="241">
        <f t="shared" ref="C87:AF87" si="20">SUM(C81:C86)</f>
        <v>345.6</v>
      </c>
      <c r="D87" s="241">
        <f t="shared" si="20"/>
        <v>369</v>
      </c>
      <c r="E87" s="241">
        <f t="shared" si="20"/>
        <v>364.9</v>
      </c>
      <c r="F87" s="241">
        <f t="shared" si="20"/>
        <v>358.9</v>
      </c>
      <c r="G87" s="241">
        <f t="shared" si="20"/>
        <v>403.3</v>
      </c>
      <c r="H87" s="241">
        <f t="shared" si="20"/>
        <v>393</v>
      </c>
      <c r="I87" s="241">
        <f t="shared" si="20"/>
        <v>411</v>
      </c>
      <c r="J87" s="241">
        <f t="shared" si="20"/>
        <v>414.3</v>
      </c>
      <c r="K87" s="241">
        <f t="shared" si="20"/>
        <v>409</v>
      </c>
      <c r="L87" s="241">
        <f t="shared" si="20"/>
        <v>391</v>
      </c>
      <c r="M87" s="241">
        <f t="shared" si="20"/>
        <v>390</v>
      </c>
      <c r="N87" s="241">
        <f t="shared" si="20"/>
        <v>409</v>
      </c>
      <c r="O87" s="241">
        <f t="shared" si="20"/>
        <v>410</v>
      </c>
      <c r="P87" s="241">
        <f t="shared" si="20"/>
        <v>437</v>
      </c>
      <c r="Q87" s="241">
        <f t="shared" si="20"/>
        <v>446</v>
      </c>
      <c r="R87" s="241">
        <f t="shared" si="20"/>
        <v>430</v>
      </c>
      <c r="S87" s="241">
        <f t="shared" si="20"/>
        <v>405</v>
      </c>
      <c r="T87" s="241">
        <f t="shared" si="20"/>
        <v>440.2</v>
      </c>
      <c r="U87" s="241">
        <f t="shared" si="20"/>
        <v>404.5</v>
      </c>
      <c r="V87" s="241">
        <f t="shared" si="20"/>
        <v>394.6</v>
      </c>
      <c r="W87" s="241">
        <f t="shared" si="20"/>
        <v>354.2</v>
      </c>
      <c r="X87" s="241">
        <f t="shared" si="20"/>
        <v>407.2</v>
      </c>
      <c r="Y87" s="241">
        <f t="shared" si="20"/>
        <v>364.2</v>
      </c>
      <c r="Z87" s="241">
        <f t="shared" si="20"/>
        <v>332.5</v>
      </c>
      <c r="AA87" s="241">
        <f t="shared" si="20"/>
        <v>354.8</v>
      </c>
      <c r="AB87" s="241">
        <f t="shared" si="20"/>
        <v>371</v>
      </c>
      <c r="AC87" s="241">
        <f t="shared" si="20"/>
        <v>395</v>
      </c>
      <c r="AD87" s="241">
        <f t="shared" si="20"/>
        <v>374</v>
      </c>
      <c r="AE87" s="241">
        <f t="shared" si="20"/>
        <v>412</v>
      </c>
      <c r="AF87" s="241">
        <f t="shared" si="20"/>
        <v>437</v>
      </c>
      <c r="AG87" s="261"/>
      <c r="AH87" s="226">
        <f t="shared" si="13"/>
        <v>446</v>
      </c>
      <c r="AI87" s="227">
        <f t="shared" si="15"/>
        <v>332.5</v>
      </c>
      <c r="AK87" s="228"/>
    </row>
    <row r="88" spans="1:88" s="175" customFormat="1" ht="15.75" thickBot="1" x14ac:dyDescent="0.3">
      <c r="A88" s="254" t="s">
        <v>93</v>
      </c>
      <c r="B88" s="241">
        <f>B72-B87</f>
        <v>-337.4</v>
      </c>
      <c r="C88" s="241">
        <f t="shared" ref="C88:AF88" si="21">C72-C87</f>
        <v>-345.6</v>
      </c>
      <c r="D88" s="241">
        <f t="shared" si="21"/>
        <v>-369</v>
      </c>
      <c r="E88" s="241">
        <f t="shared" si="21"/>
        <v>-364.9</v>
      </c>
      <c r="F88" s="241">
        <f t="shared" si="21"/>
        <v>-358.9</v>
      </c>
      <c r="G88" s="241">
        <f t="shared" si="21"/>
        <v>-403.3</v>
      </c>
      <c r="H88" s="241">
        <f t="shared" si="21"/>
        <v>-393</v>
      </c>
      <c r="I88" s="241">
        <f t="shared" si="21"/>
        <v>-411</v>
      </c>
      <c r="J88" s="241">
        <f t="shared" si="21"/>
        <v>-414.3</v>
      </c>
      <c r="K88" s="241">
        <f t="shared" si="21"/>
        <v>-409</v>
      </c>
      <c r="L88" s="241">
        <f t="shared" si="21"/>
        <v>-391</v>
      </c>
      <c r="M88" s="241">
        <f t="shared" si="21"/>
        <v>-390</v>
      </c>
      <c r="N88" s="241">
        <f t="shared" si="21"/>
        <v>-409</v>
      </c>
      <c r="O88" s="241">
        <f t="shared" si="21"/>
        <v>-410</v>
      </c>
      <c r="P88" s="241">
        <f t="shared" si="21"/>
        <v>-437</v>
      </c>
      <c r="Q88" s="241">
        <f t="shared" si="21"/>
        <v>-446</v>
      </c>
      <c r="R88" s="241">
        <f t="shared" si="21"/>
        <v>-430</v>
      </c>
      <c r="S88" s="241">
        <f t="shared" si="21"/>
        <v>-405</v>
      </c>
      <c r="T88" s="241">
        <f t="shared" si="21"/>
        <v>-440.2</v>
      </c>
      <c r="U88" s="241">
        <f t="shared" si="21"/>
        <v>-404.5</v>
      </c>
      <c r="V88" s="241">
        <f t="shared" si="21"/>
        <v>-394.6</v>
      </c>
      <c r="W88" s="241">
        <f t="shared" si="21"/>
        <v>-354.2</v>
      </c>
      <c r="X88" s="241">
        <f t="shared" si="21"/>
        <v>-407.2</v>
      </c>
      <c r="Y88" s="241">
        <f t="shared" si="21"/>
        <v>-356.5</v>
      </c>
      <c r="Z88" s="241">
        <f t="shared" si="21"/>
        <v>-317.5</v>
      </c>
      <c r="AA88" s="241">
        <f t="shared" si="21"/>
        <v>-340.8</v>
      </c>
      <c r="AB88" s="241">
        <f t="shared" si="21"/>
        <v>-359.2</v>
      </c>
      <c r="AC88" s="241">
        <f t="shared" si="21"/>
        <v>-391</v>
      </c>
      <c r="AD88" s="241">
        <f t="shared" si="21"/>
        <v>-370</v>
      </c>
      <c r="AE88" s="241">
        <f t="shared" si="21"/>
        <v>-408</v>
      </c>
      <c r="AF88" s="241">
        <f t="shared" si="21"/>
        <v>-433</v>
      </c>
      <c r="AG88" s="261"/>
      <c r="AH88" s="226">
        <f t="shared" si="13"/>
        <v>-317.5</v>
      </c>
      <c r="AI88" s="227">
        <f t="shared" si="15"/>
        <v>-446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50.02</v>
      </c>
      <c r="C89" s="269">
        <v>50.03</v>
      </c>
      <c r="D89" s="269">
        <v>50.04</v>
      </c>
      <c r="E89" s="269">
        <v>50.061</v>
      </c>
      <c r="F89" s="269">
        <v>50.027999999999999</v>
      </c>
      <c r="G89" s="269">
        <v>49.960999999999999</v>
      </c>
      <c r="H89" s="269">
        <v>49.930999999999997</v>
      </c>
      <c r="I89" s="269">
        <v>49.99</v>
      </c>
      <c r="J89" s="269">
        <v>49.98</v>
      </c>
      <c r="K89" s="269">
        <v>49.99</v>
      </c>
      <c r="L89" s="269">
        <v>50.036999999999999</v>
      </c>
      <c r="M89" s="269">
        <v>50.05</v>
      </c>
      <c r="N89" s="269">
        <v>50.064</v>
      </c>
      <c r="O89" s="269">
        <v>50.01</v>
      </c>
      <c r="P89" s="269">
        <v>49.84</v>
      </c>
      <c r="Q89" s="269">
        <v>50.02</v>
      </c>
      <c r="R89" s="269">
        <v>49.87</v>
      </c>
      <c r="S89" s="269">
        <v>49.951999999999998</v>
      </c>
      <c r="T89" s="269">
        <v>49.991</v>
      </c>
      <c r="U89" s="269">
        <v>50.015000000000001</v>
      </c>
      <c r="V89" s="269">
        <v>49.999000000000002</v>
      </c>
      <c r="W89" s="269">
        <v>50.029000000000003</v>
      </c>
      <c r="X89" s="269">
        <v>50.026000000000003</v>
      </c>
      <c r="Y89" s="269">
        <v>50.011000000000003</v>
      </c>
      <c r="Z89" s="269">
        <v>50.037999999999997</v>
      </c>
      <c r="AA89" s="269">
        <v>49.994</v>
      </c>
      <c r="AB89" s="269">
        <v>50</v>
      </c>
      <c r="AC89" s="269">
        <v>50.02</v>
      </c>
      <c r="AD89" s="269">
        <v>50.02</v>
      </c>
      <c r="AE89" s="269">
        <v>50.04</v>
      </c>
      <c r="AF89" s="269">
        <v>50.5</v>
      </c>
      <c r="AG89" s="270"/>
      <c r="AH89" s="226">
        <f t="shared" si="13"/>
        <v>50.5</v>
      </c>
      <c r="AI89" s="227">
        <f t="shared" si="15"/>
        <v>49.84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124.7</v>
      </c>
      <c r="C90" s="245">
        <v>123.4</v>
      </c>
      <c r="D90" s="245">
        <v>123.2</v>
      </c>
      <c r="E90" s="245">
        <v>125.3</v>
      </c>
      <c r="F90" s="245">
        <v>124.1</v>
      </c>
      <c r="G90" s="245">
        <v>124.7</v>
      </c>
      <c r="H90" s="245">
        <v>124.7</v>
      </c>
      <c r="I90" s="245">
        <v>126</v>
      </c>
      <c r="J90" s="245">
        <v>124.9</v>
      </c>
      <c r="K90" s="245">
        <v>124.7</v>
      </c>
      <c r="L90" s="245">
        <v>124.2</v>
      </c>
      <c r="M90" s="245">
        <v>124.4</v>
      </c>
      <c r="N90" s="245">
        <v>123.6</v>
      </c>
      <c r="O90" s="245">
        <v>125.3</v>
      </c>
      <c r="P90" s="245">
        <v>126.2</v>
      </c>
      <c r="Q90" s="245">
        <v>125.6</v>
      </c>
      <c r="R90" s="245">
        <v>125.8</v>
      </c>
      <c r="S90" s="245">
        <v>124.7</v>
      </c>
      <c r="T90" s="245">
        <v>124.8</v>
      </c>
      <c r="U90" s="245">
        <v>123.9</v>
      </c>
      <c r="V90" s="245">
        <v>124.5</v>
      </c>
      <c r="W90" s="245">
        <v>125.2</v>
      </c>
      <c r="X90" s="245">
        <v>126.5</v>
      </c>
      <c r="Y90" s="245">
        <v>124.2</v>
      </c>
      <c r="Z90" s="245">
        <v>123.7</v>
      </c>
      <c r="AA90" s="245">
        <v>123.7</v>
      </c>
      <c r="AB90" s="245">
        <v>124.9</v>
      </c>
      <c r="AC90" s="245">
        <v>125.6</v>
      </c>
      <c r="AD90" s="245">
        <v>124.4</v>
      </c>
      <c r="AE90" s="245">
        <v>124.4</v>
      </c>
      <c r="AF90" s="245">
        <v>126</v>
      </c>
      <c r="AG90" s="272"/>
      <c r="AH90" s="226">
        <f t="shared" si="13"/>
        <v>126.5</v>
      </c>
      <c r="AI90" s="227">
        <f t="shared" si="15"/>
        <v>123.2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128.6</v>
      </c>
      <c r="C91" s="245">
        <v>128</v>
      </c>
      <c r="D91" s="245">
        <v>128</v>
      </c>
      <c r="E91" s="245">
        <v>129.30000000000001</v>
      </c>
      <c r="F91" s="245">
        <v>128.69999999999999</v>
      </c>
      <c r="G91" s="245">
        <v>128.80000000000001</v>
      </c>
      <c r="H91" s="245">
        <v>128.80000000000001</v>
      </c>
      <c r="I91" s="245">
        <v>129</v>
      </c>
      <c r="J91" s="245">
        <v>128</v>
      </c>
      <c r="K91" s="245">
        <v>127.5</v>
      </c>
      <c r="L91" s="245">
        <v>126.7</v>
      </c>
      <c r="M91" s="245">
        <v>126.5</v>
      </c>
      <c r="N91" s="245">
        <v>126.2</v>
      </c>
      <c r="O91" s="245">
        <v>127.3</v>
      </c>
      <c r="P91" s="245">
        <v>128.19999999999999</v>
      </c>
      <c r="Q91" s="245">
        <v>128.30000000000001</v>
      </c>
      <c r="R91" s="245">
        <v>128.5</v>
      </c>
      <c r="S91" s="245">
        <v>127.3</v>
      </c>
      <c r="T91" s="245">
        <v>127.5</v>
      </c>
      <c r="U91" s="245">
        <v>126.8</v>
      </c>
      <c r="V91" s="245">
        <v>127.5</v>
      </c>
      <c r="W91" s="245">
        <v>128.30000000000001</v>
      </c>
      <c r="X91" s="245">
        <v>126.2</v>
      </c>
      <c r="Y91" s="245">
        <v>126.9</v>
      </c>
      <c r="Z91" s="245">
        <v>126.5</v>
      </c>
      <c r="AA91" s="245">
        <v>127.2</v>
      </c>
      <c r="AB91" s="245">
        <v>128.19999999999999</v>
      </c>
      <c r="AC91" s="245">
        <v>129</v>
      </c>
      <c r="AD91" s="245">
        <v>128.80000000000001</v>
      </c>
      <c r="AE91" s="245">
        <v>128.80000000000001</v>
      </c>
      <c r="AF91" s="245">
        <v>130</v>
      </c>
      <c r="AG91" s="272"/>
      <c r="AH91" s="226">
        <f t="shared" si="13"/>
        <v>130</v>
      </c>
      <c r="AI91" s="227">
        <f t="shared" si="15"/>
        <v>126.2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131</v>
      </c>
      <c r="C92" s="245">
        <v>129.80000000000001</v>
      </c>
      <c r="D92" s="245">
        <v>131.9</v>
      </c>
      <c r="E92" s="245">
        <v>131.1</v>
      </c>
      <c r="F92" s="245">
        <v>129</v>
      </c>
      <c r="G92" s="245">
        <v>129.19999999999999</v>
      </c>
      <c r="H92" s="245">
        <v>129.19999999999999</v>
      </c>
      <c r="I92" s="245">
        <v>130</v>
      </c>
      <c r="J92" s="245">
        <v>128.30000000000001</v>
      </c>
      <c r="K92" s="245">
        <v>130.69999999999999</v>
      </c>
      <c r="L92" s="245">
        <v>129.69999999999999</v>
      </c>
      <c r="M92" s="245">
        <v>129.30000000000001</v>
      </c>
      <c r="N92" s="245">
        <v>128.19999999999999</v>
      </c>
      <c r="O92" s="245">
        <v>133.19999999999999</v>
      </c>
      <c r="P92" s="245">
        <v>131.9</v>
      </c>
      <c r="Q92" s="245">
        <v>132.80000000000001</v>
      </c>
      <c r="R92" s="245">
        <v>131.6</v>
      </c>
      <c r="S92" s="245">
        <v>132.5</v>
      </c>
      <c r="T92" s="245">
        <v>132</v>
      </c>
      <c r="U92" s="245">
        <v>131.30000000000001</v>
      </c>
      <c r="V92" s="245">
        <v>131.6</v>
      </c>
      <c r="W92" s="245">
        <v>131.4</v>
      </c>
      <c r="X92" s="245">
        <v>130.9</v>
      </c>
      <c r="Y92" s="245">
        <v>129.4</v>
      </c>
      <c r="Z92" s="245">
        <v>129.5</v>
      </c>
      <c r="AA92" s="245">
        <v>129.4</v>
      </c>
      <c r="AB92" s="245">
        <v>130.69999999999999</v>
      </c>
      <c r="AC92" s="245">
        <v>127.1</v>
      </c>
      <c r="AD92" s="245">
        <v>130.1</v>
      </c>
      <c r="AE92" s="245">
        <v>130.1</v>
      </c>
      <c r="AF92" s="245">
        <v>129.4</v>
      </c>
      <c r="AG92" s="272"/>
      <c r="AH92" s="226">
        <f t="shared" si="13"/>
        <v>133.19999999999999</v>
      </c>
      <c r="AI92" s="227">
        <f t="shared" si="15"/>
        <v>127.1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133.80000000000001</v>
      </c>
      <c r="C93" s="245">
        <v>133.69999999999999</v>
      </c>
      <c r="D93" s="245">
        <v>134.9</v>
      </c>
      <c r="E93" s="245">
        <v>135.19999999999999</v>
      </c>
      <c r="F93" s="245">
        <v>132.5</v>
      </c>
      <c r="G93" s="245">
        <v>132.6</v>
      </c>
      <c r="H93" s="245">
        <v>132.6</v>
      </c>
      <c r="I93" s="245">
        <v>132.9</v>
      </c>
      <c r="J93" s="245">
        <v>131.80000000000001</v>
      </c>
      <c r="K93" s="245">
        <v>134.5</v>
      </c>
      <c r="L93" s="245">
        <v>134</v>
      </c>
      <c r="M93" s="245">
        <v>133.1</v>
      </c>
      <c r="N93" s="245">
        <v>133.5</v>
      </c>
      <c r="O93" s="245">
        <v>136</v>
      </c>
      <c r="P93" s="245">
        <v>134.6</v>
      </c>
      <c r="Q93" s="245">
        <v>133.69999999999999</v>
      </c>
      <c r="R93" s="245">
        <v>133.1</v>
      </c>
      <c r="S93" s="245">
        <v>133.4</v>
      </c>
      <c r="T93" s="245">
        <v>132.6</v>
      </c>
      <c r="U93" s="245">
        <v>132.69999999999999</v>
      </c>
      <c r="V93" s="245">
        <v>132.9</v>
      </c>
      <c r="W93" s="245">
        <v>132.9</v>
      </c>
      <c r="X93" s="245">
        <v>132.30000000000001</v>
      </c>
      <c r="Y93" s="245">
        <v>132.5</v>
      </c>
      <c r="Z93" s="245">
        <v>132.80000000000001</v>
      </c>
      <c r="AA93" s="245">
        <v>132.80000000000001</v>
      </c>
      <c r="AB93" s="245">
        <v>134.1</v>
      </c>
      <c r="AC93" s="245">
        <v>131.9</v>
      </c>
      <c r="AD93" s="245">
        <v>133.9</v>
      </c>
      <c r="AE93" s="245">
        <v>133.9</v>
      </c>
      <c r="AF93" s="245">
        <v>133.9</v>
      </c>
      <c r="AG93" s="272"/>
      <c r="AH93" s="226">
        <f t="shared" si="13"/>
        <v>136</v>
      </c>
      <c r="AI93" s="227">
        <f t="shared" si="15"/>
        <v>131.80000000000001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133</v>
      </c>
      <c r="C94" s="274">
        <v>134</v>
      </c>
      <c r="D94" s="274">
        <v>132.6</v>
      </c>
      <c r="E94" s="274">
        <v>133.5</v>
      </c>
      <c r="F94" s="274">
        <v>134.80000000000001</v>
      </c>
      <c r="G94" s="274">
        <v>133.80000000000001</v>
      </c>
      <c r="H94" s="274">
        <v>133.80000000000001</v>
      </c>
      <c r="I94" s="274">
        <v>133.30000000000001</v>
      </c>
      <c r="J94" s="274">
        <v>133.80000000000001</v>
      </c>
      <c r="K94" s="274">
        <v>130.6</v>
      </c>
      <c r="L94" s="274">
        <v>132.69999999999999</v>
      </c>
      <c r="M94" s="274">
        <v>132.80000000000001</v>
      </c>
      <c r="N94" s="274">
        <v>129.19999999999999</v>
      </c>
      <c r="O94" s="274">
        <v>132.30000000000001</v>
      </c>
      <c r="P94" s="274">
        <v>133.30000000000001</v>
      </c>
      <c r="Q94" s="274">
        <v>133.1</v>
      </c>
      <c r="R94" s="274">
        <v>133.1</v>
      </c>
      <c r="S94" s="274">
        <v>137.1</v>
      </c>
      <c r="T94" s="274">
        <v>133.80000000000001</v>
      </c>
      <c r="U94" s="274">
        <v>133.6</v>
      </c>
      <c r="V94" s="274">
        <v>134.30000000000001</v>
      </c>
      <c r="W94" s="274">
        <v>131.5</v>
      </c>
      <c r="X94" s="274">
        <v>133.5</v>
      </c>
      <c r="Y94" s="274">
        <v>129.4</v>
      </c>
      <c r="Z94" s="274">
        <v>129.19999999999999</v>
      </c>
      <c r="AA94" s="274">
        <v>12.2</v>
      </c>
      <c r="AB94" s="274">
        <v>133.1</v>
      </c>
      <c r="AC94" s="274">
        <v>135.9</v>
      </c>
      <c r="AD94" s="274">
        <v>129.80000000000001</v>
      </c>
      <c r="AE94" s="274">
        <v>129.80000000000001</v>
      </c>
      <c r="AF94" s="274">
        <v>130.19999999999999</v>
      </c>
      <c r="AG94" s="275"/>
      <c r="AH94" s="226">
        <f t="shared" si="13"/>
        <v>137.1</v>
      </c>
      <c r="AI94" s="227">
        <f t="shared" si="15"/>
        <v>12.2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129.6</v>
      </c>
      <c r="C95" s="245">
        <v>130.5</v>
      </c>
      <c r="D95" s="245">
        <v>133.19999999999999</v>
      </c>
      <c r="E95" s="245">
        <v>128.5</v>
      </c>
      <c r="F95" s="245">
        <v>130.69999999999999</v>
      </c>
      <c r="G95" s="245">
        <v>133.1</v>
      </c>
      <c r="H95" s="245">
        <v>133.1</v>
      </c>
      <c r="I95" s="245">
        <v>130.1</v>
      </c>
      <c r="J95" s="245">
        <v>133.4</v>
      </c>
      <c r="K95" s="245">
        <v>128.1</v>
      </c>
      <c r="L95" s="245">
        <v>133.4</v>
      </c>
      <c r="M95" s="245">
        <v>132.6</v>
      </c>
      <c r="N95" s="245">
        <v>125.1</v>
      </c>
      <c r="O95" s="245">
        <v>128.19999999999999</v>
      </c>
      <c r="P95" s="245">
        <v>129.19999999999999</v>
      </c>
      <c r="Q95" s="245">
        <v>130.5</v>
      </c>
      <c r="R95" s="245">
        <v>129.9</v>
      </c>
      <c r="S95" s="245">
        <v>128.4</v>
      </c>
      <c r="T95" s="245">
        <v>131.9</v>
      </c>
      <c r="U95" s="245">
        <v>131</v>
      </c>
      <c r="V95" s="245">
        <v>129.30000000000001</v>
      </c>
      <c r="W95" s="245">
        <v>126.8</v>
      </c>
      <c r="X95" s="245">
        <v>129.5</v>
      </c>
      <c r="Y95" s="245">
        <v>128.4</v>
      </c>
      <c r="Z95" s="245">
        <v>128.19999999999999</v>
      </c>
      <c r="AA95" s="245">
        <v>126.5</v>
      </c>
      <c r="AB95" s="245">
        <v>128.30000000000001</v>
      </c>
      <c r="AC95" s="245">
        <v>132.80000000000001</v>
      </c>
      <c r="AD95" s="245">
        <v>124</v>
      </c>
      <c r="AE95" s="245">
        <v>124</v>
      </c>
      <c r="AF95" s="245">
        <v>124</v>
      </c>
      <c r="AG95" s="272"/>
      <c r="AH95" s="226">
        <f t="shared" si="13"/>
        <v>133.4</v>
      </c>
      <c r="AI95" s="227">
        <f t="shared" si="15"/>
        <v>124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65.2</v>
      </c>
      <c r="C96" s="276">
        <v>64.8</v>
      </c>
      <c r="D96" s="276">
        <v>64.8</v>
      </c>
      <c r="E96" s="276">
        <v>65.5</v>
      </c>
      <c r="F96" s="276">
        <v>65.2</v>
      </c>
      <c r="G96" s="276">
        <v>65.2</v>
      </c>
      <c r="H96" s="276">
        <v>65.2</v>
      </c>
      <c r="I96" s="276">
        <v>65.3</v>
      </c>
      <c r="J96" s="276">
        <v>64.599999999999994</v>
      </c>
      <c r="K96" s="276">
        <v>64.400000000000006</v>
      </c>
      <c r="L96" s="276">
        <v>63.8</v>
      </c>
      <c r="M96" s="276">
        <v>63.9</v>
      </c>
      <c r="N96" s="276">
        <v>63.9</v>
      </c>
      <c r="O96" s="276">
        <v>64.400000000000006</v>
      </c>
      <c r="P96" s="276">
        <v>64.599999999999994</v>
      </c>
      <c r="Q96" s="276">
        <v>64.599999999999994</v>
      </c>
      <c r="R96" s="276">
        <v>64.900000000000006</v>
      </c>
      <c r="S96" s="276">
        <v>64.2</v>
      </c>
      <c r="T96" s="276">
        <v>64.5</v>
      </c>
      <c r="U96" s="276">
        <v>64.2</v>
      </c>
      <c r="V96" s="276">
        <v>64.400000000000006</v>
      </c>
      <c r="W96" s="276">
        <v>64.7</v>
      </c>
      <c r="X96" s="276">
        <v>64.900000000000006</v>
      </c>
      <c r="Y96" s="276">
        <v>64</v>
      </c>
      <c r="Z96" s="276">
        <v>63.8</v>
      </c>
      <c r="AA96" s="276">
        <v>64.2</v>
      </c>
      <c r="AB96" s="276">
        <v>64.7</v>
      </c>
      <c r="AC96" s="276">
        <v>65.2</v>
      </c>
      <c r="AD96" s="276">
        <v>65.2</v>
      </c>
      <c r="AE96" s="276">
        <v>65.2</v>
      </c>
      <c r="AF96" s="276">
        <v>65.7</v>
      </c>
      <c r="AG96" s="277"/>
      <c r="AH96" s="226">
        <f t="shared" si="13"/>
        <v>65.7</v>
      </c>
      <c r="AI96" s="227">
        <f t="shared" si="15"/>
        <v>63.8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>SUM(B15,B18,B21:B22,B46,B48:B49,B51,B53,B99:B102,B124,B130,B136,B145,B147,B159,B166,B169:B170,B177,B179,B181,B185:B187,B189:B191,B196,B202:B203,B205:B207,B215,B220)</f>
        <v>85.4</v>
      </c>
      <c r="C98" s="280">
        <f t="shared" ref="C98:AF98" si="22">SUM(C15,C18,C21:C22,C46,C48:C49,C51,C53,C99:C102,C124,C130,C136,C145,C147,C159,C166,C169:C170,C177,C179,C181,C185:C187,C189:C191,C196,C202:C203,C205:C207,C215,C220)</f>
        <v>55.339999999999996</v>
      </c>
      <c r="D98" s="280">
        <f t="shared" si="22"/>
        <v>45.64</v>
      </c>
      <c r="E98" s="280">
        <f t="shared" si="22"/>
        <v>6.4400000000000173</v>
      </c>
      <c r="F98" s="280">
        <f t="shared" si="22"/>
        <v>5.4400000000000395</v>
      </c>
      <c r="G98" s="280">
        <f t="shared" si="22"/>
        <v>19.840000000000014</v>
      </c>
      <c r="H98" s="280">
        <f t="shared" si="22"/>
        <v>26.740000000000002</v>
      </c>
      <c r="I98" s="280">
        <f t="shared" si="22"/>
        <v>49.74</v>
      </c>
      <c r="J98" s="280">
        <f t="shared" si="22"/>
        <v>64.84</v>
      </c>
      <c r="K98" s="280">
        <f t="shared" si="22"/>
        <v>91.640000000000015</v>
      </c>
      <c r="L98" s="280">
        <f t="shared" si="22"/>
        <v>103.24000000000001</v>
      </c>
      <c r="M98" s="280">
        <f t="shared" si="22"/>
        <v>153.04000000000002</v>
      </c>
      <c r="N98" s="280">
        <f t="shared" si="22"/>
        <v>180.34</v>
      </c>
      <c r="O98" s="280">
        <f t="shared" si="22"/>
        <v>167.84</v>
      </c>
      <c r="P98" s="280">
        <f t="shared" si="22"/>
        <v>147.54</v>
      </c>
      <c r="Q98" s="280">
        <f t="shared" si="22"/>
        <v>143.00000000000003</v>
      </c>
      <c r="R98" s="280">
        <f t="shared" si="22"/>
        <v>112.8</v>
      </c>
      <c r="S98" s="280">
        <f t="shared" si="22"/>
        <v>106.10000000000002</v>
      </c>
      <c r="T98" s="280">
        <f t="shared" si="22"/>
        <v>105.9</v>
      </c>
      <c r="U98" s="280">
        <f t="shared" si="22"/>
        <v>106</v>
      </c>
      <c r="V98" s="280">
        <f t="shared" si="22"/>
        <v>114.60000000000002</v>
      </c>
      <c r="W98" s="280">
        <f t="shared" si="22"/>
        <v>136</v>
      </c>
      <c r="X98" s="280">
        <f t="shared" si="22"/>
        <v>146.80000000000001</v>
      </c>
      <c r="Y98" s="280">
        <f t="shared" si="22"/>
        <v>225.2</v>
      </c>
      <c r="Z98" s="280">
        <f t="shared" si="22"/>
        <v>226.6</v>
      </c>
      <c r="AA98" s="280">
        <f t="shared" si="22"/>
        <v>207.2</v>
      </c>
      <c r="AB98" s="280">
        <f t="shared" si="22"/>
        <v>194.7</v>
      </c>
      <c r="AC98" s="280">
        <f t="shared" si="22"/>
        <v>170.39999999999998</v>
      </c>
      <c r="AD98" s="280">
        <f t="shared" si="22"/>
        <v>145.19999999999999</v>
      </c>
      <c r="AE98" s="280">
        <f t="shared" si="22"/>
        <v>121.19999999999999</v>
      </c>
      <c r="AF98" s="280">
        <f t="shared" si="22"/>
        <v>53.099999999999994</v>
      </c>
      <c r="AG98" s="281"/>
      <c r="AH98" s="226">
        <f>MAX(C98:AF98)</f>
        <v>226.6</v>
      </c>
      <c r="AI98" s="227">
        <f>MIN(C98:AF98)</f>
        <v>5.4400000000000395</v>
      </c>
    </row>
    <row r="99" spans="1:37" x14ac:dyDescent="0.25">
      <c r="A99" s="268" t="s">
        <v>103</v>
      </c>
      <c r="B99" s="282">
        <f>34.4+17.6</f>
        <v>52</v>
      </c>
      <c r="C99" s="282">
        <f>28.6+11.5</f>
        <v>40.1</v>
      </c>
      <c r="D99" s="282">
        <f>31.6+13.1</f>
        <v>44.7</v>
      </c>
      <c r="E99" s="282">
        <v>9.6</v>
      </c>
      <c r="F99" s="282">
        <v>12.8</v>
      </c>
      <c r="G99" s="282">
        <v>18.5</v>
      </c>
      <c r="H99" s="282">
        <v>19.7</v>
      </c>
      <c r="I99" s="282">
        <v>19.100000000000001</v>
      </c>
      <c r="J99" s="282">
        <v>22.1</v>
      </c>
      <c r="K99" s="282">
        <v>24.2</v>
      </c>
      <c r="L99" s="282">
        <v>28.7</v>
      </c>
      <c r="M99" s="282">
        <v>24.4</v>
      </c>
      <c r="N99" s="282">
        <v>23.5</v>
      </c>
      <c r="O99" s="282">
        <v>17.5</v>
      </c>
      <c r="P99" s="282">
        <v>15.7</v>
      </c>
      <c r="Q99" s="282">
        <v>14.8</v>
      </c>
      <c r="R99" s="282">
        <v>18.100000000000001</v>
      </c>
      <c r="S99" s="282">
        <v>17.600000000000001</v>
      </c>
      <c r="T99" s="282">
        <v>23.5</v>
      </c>
      <c r="U99" s="282">
        <v>20.7</v>
      </c>
      <c r="V99" s="282">
        <v>22.1</v>
      </c>
      <c r="W99" s="282">
        <v>11.6</v>
      </c>
      <c r="X99" s="282">
        <v>15.1</v>
      </c>
      <c r="Y99" s="282">
        <v>29.7</v>
      </c>
      <c r="Z99" s="282">
        <v>27.4</v>
      </c>
      <c r="AA99" s="282">
        <v>26.1</v>
      </c>
      <c r="AB99" s="282">
        <v>25</v>
      </c>
      <c r="AC99" s="282">
        <v>22.6</v>
      </c>
      <c r="AD99" s="282">
        <v>20.100000000000001</v>
      </c>
      <c r="AE99" s="282">
        <v>21.1</v>
      </c>
      <c r="AF99" s="282">
        <v>14.6</v>
      </c>
      <c r="AG99" s="283">
        <v>75</v>
      </c>
      <c r="AH99" s="226">
        <f t="shared" ref="AH99:AH106" si="23">IF(ABS(MAX(C99:AF99))&gt;ABS(MIN(C99:AF99)),MAX(C99:AF99),MIN(C99:AF99))</f>
        <v>44.7</v>
      </c>
      <c r="AI99" s="284">
        <f t="shared" ref="AI99:AI106" si="24">INDEX($C$9:$AF$9,1,MATCH(AH99,C99:AF99,0))</f>
        <v>8.3333333333333301E-2</v>
      </c>
    </row>
    <row r="100" spans="1:37" x14ac:dyDescent="0.25">
      <c r="A100" s="271" t="s">
        <v>104</v>
      </c>
      <c r="B100" s="285">
        <f>-72.6-76.9</f>
        <v>-149.5</v>
      </c>
      <c r="C100" s="285">
        <f>-77.6-81.2</f>
        <v>-158.80000000000001</v>
      </c>
      <c r="D100" s="285">
        <f>-80.2-85.7</f>
        <v>-165.9</v>
      </c>
      <c r="E100" s="285">
        <v>-150</v>
      </c>
      <c r="F100" s="285">
        <v>-156</v>
      </c>
      <c r="G100" s="285">
        <v>-147</v>
      </c>
      <c r="H100" s="285">
        <v>-143</v>
      </c>
      <c r="I100" s="285">
        <v>-121</v>
      </c>
      <c r="J100" s="285">
        <v>-114</v>
      </c>
      <c r="K100" s="285">
        <v>-91</v>
      </c>
      <c r="L100" s="285">
        <v>-87</v>
      </c>
      <c r="M100" s="285">
        <f>-34.8-37.6</f>
        <v>-72.400000000000006</v>
      </c>
      <c r="N100" s="285">
        <v>-42</v>
      </c>
      <c r="O100" s="285">
        <f>-24-25.6</f>
        <v>-49.6</v>
      </c>
      <c r="P100" s="285">
        <f>-27.4-29.1</f>
        <v>-56.5</v>
      </c>
      <c r="Q100" s="285">
        <f>-27-30.8</f>
        <v>-57.8</v>
      </c>
      <c r="R100" s="285">
        <v>-68</v>
      </c>
      <c r="S100" s="285">
        <v>-33.799999999999997</v>
      </c>
      <c r="T100" s="285">
        <v>-40.299999999999997</v>
      </c>
      <c r="U100" s="285">
        <v>-35</v>
      </c>
      <c r="V100" s="285">
        <v>-65.099999999999994</v>
      </c>
      <c r="W100" s="285">
        <v>-67.900000000000006</v>
      </c>
      <c r="X100" s="285">
        <v>-72.3</v>
      </c>
      <c r="Y100" s="285">
        <v>-69</v>
      </c>
      <c r="Z100" s="285">
        <v>-70.3</v>
      </c>
      <c r="AA100" s="285">
        <v>-80.099999999999994</v>
      </c>
      <c r="AB100" s="285">
        <f>-41.4-44.5</f>
        <v>-85.9</v>
      </c>
      <c r="AC100" s="285">
        <f>-44.8-48.7</f>
        <v>-93.5</v>
      </c>
      <c r="AD100" s="285">
        <f>-50.7-54.5</f>
        <v>-105.2</v>
      </c>
      <c r="AE100" s="285">
        <f>-50.7-54.5</f>
        <v>-105.2</v>
      </c>
      <c r="AF100" s="285">
        <f>-59-63.1</f>
        <v>-122.1</v>
      </c>
      <c r="AG100" s="283">
        <v>240</v>
      </c>
      <c r="AH100" s="226">
        <f t="shared" si="23"/>
        <v>-165.9</v>
      </c>
      <c r="AI100" s="284">
        <f t="shared" si="24"/>
        <v>8.3333333333333301E-2</v>
      </c>
    </row>
    <row r="101" spans="1:37" x14ac:dyDescent="0.25">
      <c r="A101" s="271" t="s">
        <v>105</v>
      </c>
      <c r="B101" s="285">
        <v>-2.5</v>
      </c>
      <c r="C101" s="285">
        <v>-7.1</v>
      </c>
      <c r="D101" s="285">
        <v>-9.1999999999999993</v>
      </c>
      <c r="E101" s="285">
        <v>-8.6999999999999993</v>
      </c>
      <c r="F101" s="285">
        <v>-6.8</v>
      </c>
      <c r="G101" s="285">
        <v>-6.9</v>
      </c>
      <c r="H101" s="285">
        <v>-5.2</v>
      </c>
      <c r="I101" s="285">
        <v>-3.6</v>
      </c>
      <c r="J101" s="285">
        <v>1.5</v>
      </c>
      <c r="K101" s="285">
        <v>2.9</v>
      </c>
      <c r="L101" s="285">
        <v>6</v>
      </c>
      <c r="M101" s="285">
        <v>11.6</v>
      </c>
      <c r="N101" s="285">
        <v>14.5</v>
      </c>
      <c r="O101" s="285">
        <v>15.6</v>
      </c>
      <c r="P101" s="285">
        <v>14</v>
      </c>
      <c r="Q101" s="285">
        <v>12.6</v>
      </c>
      <c r="R101" s="285">
        <v>10.199999999999999</v>
      </c>
      <c r="S101" s="285">
        <v>11.7</v>
      </c>
      <c r="T101" s="285">
        <v>12.2</v>
      </c>
      <c r="U101" s="285">
        <v>12.6</v>
      </c>
      <c r="V101" s="285">
        <v>5.8</v>
      </c>
      <c r="W101" s="285">
        <v>8.3000000000000007</v>
      </c>
      <c r="X101" s="285">
        <v>8.1</v>
      </c>
      <c r="Y101" s="285">
        <v>12.6</v>
      </c>
      <c r="Z101" s="285">
        <v>11.8</v>
      </c>
      <c r="AA101" s="285">
        <v>9</v>
      </c>
      <c r="AB101" s="285">
        <v>8.8000000000000007</v>
      </c>
      <c r="AC101" s="285">
        <v>5.6</v>
      </c>
      <c r="AD101" s="285">
        <v>2.9</v>
      </c>
      <c r="AE101" s="285">
        <v>2.9</v>
      </c>
      <c r="AF101" s="285">
        <v>-3.5</v>
      </c>
      <c r="AG101" s="283">
        <v>60</v>
      </c>
      <c r="AH101" s="226">
        <f t="shared" si="23"/>
        <v>15.6</v>
      </c>
      <c r="AI101" s="284">
        <f t="shared" si="24"/>
        <v>0.41666666666666702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0</v>
      </c>
      <c r="P102" s="287">
        <v>0</v>
      </c>
      <c r="Q102" s="287">
        <v>0</v>
      </c>
      <c r="R102" s="287">
        <v>0</v>
      </c>
      <c r="S102" s="287">
        <v>0</v>
      </c>
      <c r="T102" s="287">
        <v>0</v>
      </c>
      <c r="U102" s="287">
        <v>0</v>
      </c>
      <c r="V102" s="287">
        <v>45.1</v>
      </c>
      <c r="W102" s="287">
        <v>54.9</v>
      </c>
      <c r="X102" s="287">
        <v>52.5</v>
      </c>
      <c r="Y102" s="287">
        <v>57.8</v>
      </c>
      <c r="Z102" s="287">
        <v>63.1</v>
      </c>
      <c r="AA102" s="287">
        <v>57.6</v>
      </c>
      <c r="AB102" s="287">
        <v>52.2</v>
      </c>
      <c r="AC102" s="287">
        <v>41.6</v>
      </c>
      <c r="AD102" s="287">
        <v>33.299999999999997</v>
      </c>
      <c r="AE102" s="287">
        <v>33.299999999999997</v>
      </c>
      <c r="AF102" s="287">
        <v>0</v>
      </c>
      <c r="AG102" s="288">
        <v>120</v>
      </c>
      <c r="AH102" s="226">
        <f t="shared" si="23"/>
        <v>63.1</v>
      </c>
      <c r="AI102" s="284">
        <f t="shared" si="24"/>
        <v>0.79166666666666663</v>
      </c>
    </row>
    <row r="103" spans="1:37" x14ac:dyDescent="0.25">
      <c r="A103" s="286" t="s">
        <v>107</v>
      </c>
      <c r="B103" s="287">
        <v>33.5</v>
      </c>
      <c r="C103" s="287">
        <v>27.2</v>
      </c>
      <c r="D103" s="287">
        <v>23.5</v>
      </c>
      <c r="E103" s="287">
        <v>32.9</v>
      </c>
      <c r="F103" s="287">
        <v>30.8</v>
      </c>
      <c r="G103" s="287">
        <v>16.3</v>
      </c>
      <c r="H103" s="287">
        <v>13.9</v>
      </c>
      <c r="I103" s="287">
        <v>15.6</v>
      </c>
      <c r="J103" s="287">
        <v>14.3</v>
      </c>
      <c r="K103" s="287">
        <v>29.1</v>
      </c>
      <c r="L103" s="287">
        <v>38</v>
      </c>
      <c r="M103" s="287">
        <v>39.299999999999997</v>
      </c>
      <c r="N103" s="287">
        <v>68</v>
      </c>
      <c r="O103" s="287">
        <v>52.3</v>
      </c>
      <c r="P103" s="287">
        <v>48.2</v>
      </c>
      <c r="Q103" s="287">
        <v>55.9</v>
      </c>
      <c r="R103" s="287">
        <v>38</v>
      </c>
      <c r="S103" s="287">
        <v>65</v>
      </c>
      <c r="T103" s="287">
        <v>54</v>
      </c>
      <c r="U103" s="287">
        <v>55.4</v>
      </c>
      <c r="V103" s="287">
        <v>40.5</v>
      </c>
      <c r="W103" s="287">
        <v>49.7</v>
      </c>
      <c r="X103" s="287">
        <v>47.5</v>
      </c>
      <c r="Y103" s="287">
        <v>43.9</v>
      </c>
      <c r="Z103" s="287">
        <v>53.8</v>
      </c>
      <c r="AA103" s="287">
        <v>53.8</v>
      </c>
      <c r="AB103" s="287">
        <v>46.9</v>
      </c>
      <c r="AC103" s="287">
        <v>40.799999999999997</v>
      </c>
      <c r="AD103" s="287">
        <v>35.799999999999997</v>
      </c>
      <c r="AE103" s="287">
        <v>35.799999999999997</v>
      </c>
      <c r="AF103" s="287">
        <v>26.2</v>
      </c>
      <c r="AG103" s="288"/>
      <c r="AH103" s="226">
        <f t="shared" si="23"/>
        <v>68</v>
      </c>
      <c r="AI103" s="284">
        <f t="shared" si="24"/>
        <v>0.375</v>
      </c>
    </row>
    <row r="104" spans="1:37" x14ac:dyDescent="0.25">
      <c r="A104" s="286" t="s">
        <v>108</v>
      </c>
      <c r="B104" s="287">
        <v>44.9</v>
      </c>
      <c r="C104" s="287">
        <v>56.1</v>
      </c>
      <c r="D104" s="287">
        <v>42.3</v>
      </c>
      <c r="E104" s="287">
        <v>34.200000000000003</v>
      </c>
      <c r="F104" s="287">
        <v>20.8</v>
      </c>
      <c r="G104" s="287">
        <v>12.1</v>
      </c>
      <c r="H104" s="287">
        <v>13</v>
      </c>
      <c r="I104" s="287">
        <v>19.7</v>
      </c>
      <c r="J104" s="287">
        <v>-3.2</v>
      </c>
      <c r="K104" s="287">
        <v>16.899999999999999</v>
      </c>
      <c r="L104" s="287">
        <v>4.5999999999999996</v>
      </c>
      <c r="M104" s="287">
        <v>-19.8</v>
      </c>
      <c r="N104" s="287">
        <v>-5.5</v>
      </c>
      <c r="O104" s="287">
        <v>-2.5</v>
      </c>
      <c r="P104" s="287">
        <v>-8.1</v>
      </c>
      <c r="Q104" s="287">
        <v>14.8</v>
      </c>
      <c r="R104" s="287">
        <v>11</v>
      </c>
      <c r="S104" s="287">
        <v>33.200000000000003</v>
      </c>
      <c r="T104" s="287">
        <v>8.5</v>
      </c>
      <c r="U104" s="287">
        <v>23.2</v>
      </c>
      <c r="V104" s="287">
        <v>19.100000000000001</v>
      </c>
      <c r="W104" s="287">
        <v>46.7</v>
      </c>
      <c r="X104" s="287">
        <v>41.2</v>
      </c>
      <c r="Y104" s="287">
        <v>24.3</v>
      </c>
      <c r="Z104" s="287">
        <v>28.2</v>
      </c>
      <c r="AA104" s="287">
        <v>37.9</v>
      </c>
      <c r="AB104" s="287">
        <v>-42.9</v>
      </c>
      <c r="AC104" s="287">
        <v>38.200000000000003</v>
      </c>
      <c r="AD104" s="287">
        <v>-50.6</v>
      </c>
      <c r="AE104" s="287">
        <v>-50.6</v>
      </c>
      <c r="AF104" s="287">
        <v>-46.7</v>
      </c>
      <c r="AG104" s="289"/>
      <c r="AH104" s="226">
        <f t="shared" si="23"/>
        <v>56.1</v>
      </c>
      <c r="AI104" s="284">
        <f t="shared" si="24"/>
        <v>4.1666666666666664E-2</v>
      </c>
    </row>
    <row r="105" spans="1:37" x14ac:dyDescent="0.25">
      <c r="A105" s="290" t="s">
        <v>109</v>
      </c>
      <c r="B105" s="274">
        <v>120</v>
      </c>
      <c r="C105" s="274">
        <v>121</v>
      </c>
      <c r="D105" s="274">
        <v>120.3</v>
      </c>
      <c r="E105" s="274">
        <v>122.5</v>
      </c>
      <c r="F105" s="274">
        <v>112.2</v>
      </c>
      <c r="G105" s="274">
        <v>121.6</v>
      </c>
      <c r="H105" s="274">
        <v>120.2</v>
      </c>
      <c r="I105" s="274">
        <v>121.4</v>
      </c>
      <c r="J105" s="274">
        <v>121.7</v>
      </c>
      <c r="K105" s="274">
        <v>121.6</v>
      </c>
      <c r="L105" s="274">
        <v>119.7</v>
      </c>
      <c r="M105" s="274">
        <v>120</v>
      </c>
      <c r="N105" s="274">
        <v>116</v>
      </c>
      <c r="O105" s="274">
        <v>87.6</v>
      </c>
      <c r="P105" s="274">
        <v>84</v>
      </c>
      <c r="Q105" s="274">
        <v>84.6</v>
      </c>
      <c r="R105" s="274">
        <v>85</v>
      </c>
      <c r="S105" s="274">
        <v>107.5</v>
      </c>
      <c r="T105" s="274">
        <v>112.9</v>
      </c>
      <c r="U105" s="274">
        <v>113.3</v>
      </c>
      <c r="V105" s="274">
        <v>104</v>
      </c>
      <c r="W105" s="274">
        <v>101.3</v>
      </c>
      <c r="X105" s="274">
        <v>114.6</v>
      </c>
      <c r="Y105" s="274">
        <v>109.3</v>
      </c>
      <c r="Z105" s="274">
        <v>109.9</v>
      </c>
      <c r="AA105" s="274">
        <v>111.8</v>
      </c>
      <c r="AB105" s="274">
        <v>106.5</v>
      </c>
      <c r="AC105" s="274">
        <v>115.9</v>
      </c>
      <c r="AD105" s="274">
        <v>111</v>
      </c>
      <c r="AE105" s="274">
        <v>111</v>
      </c>
      <c r="AF105" s="274">
        <v>116.9</v>
      </c>
      <c r="AG105" s="289"/>
      <c r="AH105" s="226">
        <f t="shared" si="23"/>
        <v>122.5</v>
      </c>
      <c r="AI105" s="284">
        <f t="shared" si="24"/>
        <v>0.125</v>
      </c>
    </row>
    <row r="106" spans="1:37" ht="15.75" thickBot="1" x14ac:dyDescent="0.3">
      <c r="A106" s="290" t="s">
        <v>110</v>
      </c>
      <c r="B106" s="274">
        <v>100.7</v>
      </c>
      <c r="C106" s="274">
        <v>101.6</v>
      </c>
      <c r="D106" s="274">
        <v>109.6</v>
      </c>
      <c r="E106" s="274">
        <v>105</v>
      </c>
      <c r="F106" s="274">
        <v>108</v>
      </c>
      <c r="G106" s="274">
        <v>103</v>
      </c>
      <c r="H106" s="274">
        <v>97</v>
      </c>
      <c r="I106" s="274">
        <v>91</v>
      </c>
      <c r="J106" s="274">
        <v>87</v>
      </c>
      <c r="K106" s="274">
        <v>59</v>
      </c>
      <c r="L106" s="274">
        <v>59.9</v>
      </c>
      <c r="M106" s="274">
        <v>50.8</v>
      </c>
      <c r="N106" s="274">
        <v>26</v>
      </c>
      <c r="O106" s="274">
        <v>26.3</v>
      </c>
      <c r="P106" s="274">
        <v>0</v>
      </c>
      <c r="Q106" s="274">
        <v>0</v>
      </c>
      <c r="R106" s="274">
        <v>36</v>
      </c>
      <c r="S106" s="274">
        <v>13.2</v>
      </c>
      <c r="T106" s="274">
        <v>25.3</v>
      </c>
      <c r="U106" s="274">
        <v>19.399999999999999</v>
      </c>
      <c r="V106" s="274">
        <v>42.3</v>
      </c>
      <c r="W106" s="274">
        <v>37.200000000000003</v>
      </c>
      <c r="X106" s="274">
        <v>38.799999999999997</v>
      </c>
      <c r="Y106" s="274">
        <v>43.9</v>
      </c>
      <c r="Z106" s="274">
        <v>42.5</v>
      </c>
      <c r="AA106" s="274">
        <v>37.9</v>
      </c>
      <c r="AB106" s="274">
        <v>50.7</v>
      </c>
      <c r="AC106" s="274">
        <v>58.4</v>
      </c>
      <c r="AD106" s="274">
        <v>59.2</v>
      </c>
      <c r="AE106" s="274">
        <v>59.2</v>
      </c>
      <c r="AF106" s="274">
        <v>71</v>
      </c>
      <c r="AG106" s="289"/>
      <c r="AH106" s="226">
        <f t="shared" si="23"/>
        <v>109.6</v>
      </c>
      <c r="AI106" s="284">
        <f t="shared" si="24"/>
        <v>8.3333333333333301E-2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1671.34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18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2079/02/18)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2079/02/18)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1680.5399999999997</v>
      </c>
      <c r="U235" s="343">
        <f t="shared" si="31"/>
        <v>1671.7399999999998</v>
      </c>
      <c r="V235" s="343">
        <f t="shared" si="31"/>
        <v>1662.2399999999998</v>
      </c>
      <c r="W235" s="343">
        <f t="shared" si="31"/>
        <v>1615.44</v>
      </c>
      <c r="X235" s="343">
        <f t="shared" si="31"/>
        <v>1589.5400000000002</v>
      </c>
      <c r="Y235" s="343">
        <f t="shared" si="31"/>
        <v>1593.94</v>
      </c>
      <c r="Z235" s="343">
        <f t="shared" si="31"/>
        <v>1585.6399999999999</v>
      </c>
      <c r="AA235" s="343">
        <f t="shared" si="31"/>
        <v>1589.6399999999999</v>
      </c>
      <c r="AB235" s="343">
        <f t="shared" si="31"/>
        <v>1593.6399999999999</v>
      </c>
      <c r="AC235" s="343">
        <f t="shared" si="31"/>
        <v>1607.04</v>
      </c>
      <c r="AD235" s="343">
        <f t="shared" si="31"/>
        <v>1617.14</v>
      </c>
      <c r="AE235" s="343">
        <f t="shared" si="31"/>
        <v>1626.94</v>
      </c>
      <c r="AF235" s="343">
        <f t="shared" si="31"/>
        <v>1671.34</v>
      </c>
      <c r="AG235" s="343">
        <f t="shared" si="31"/>
        <v>1671.34</v>
      </c>
      <c r="AH235" s="343">
        <f t="shared" si="31"/>
        <v>1658.9399999999998</v>
      </c>
      <c r="AI235" s="343">
        <f t="shared" si="31"/>
        <v>1652.9399999999998</v>
      </c>
      <c r="AJ235" s="343">
        <f t="shared" si="31"/>
        <v>1577.34</v>
      </c>
      <c r="AK235" s="343">
        <f t="shared" si="31"/>
        <v>1609.54</v>
      </c>
      <c r="AL235" s="343">
        <f t="shared" si="31"/>
        <v>1592.6399999999999</v>
      </c>
      <c r="AM235" s="343">
        <f t="shared" si="31"/>
        <v>1601.94</v>
      </c>
      <c r="AN235" s="343">
        <f t="shared" si="31"/>
        <v>1614.34</v>
      </c>
      <c r="AO235" s="343">
        <f t="shared" si="31"/>
        <v>1623.84</v>
      </c>
      <c r="AP235" s="343">
        <f t="shared" si="31"/>
        <v>1660.44</v>
      </c>
      <c r="AQ235" s="343">
        <f t="shared" si="31"/>
        <v>1794.9399999999998</v>
      </c>
      <c r="AR235" s="343">
        <f t="shared" si="31"/>
        <v>1823.5399999999997</v>
      </c>
      <c r="AS235" s="343">
        <f t="shared" si="31"/>
        <v>1811.4399999999998</v>
      </c>
      <c r="AT235" s="343">
        <f t="shared" si="31"/>
        <v>1814.34</v>
      </c>
      <c r="AU235" s="343">
        <f t="shared" si="31"/>
        <v>1813.04</v>
      </c>
      <c r="AV235" s="343">
        <f t="shared" si="31"/>
        <v>1786.84</v>
      </c>
      <c r="AW235" s="343">
        <f t="shared" si="31"/>
        <v>1739.84</v>
      </c>
      <c r="AX235" s="343">
        <f t="shared" si="31"/>
        <v>1729.84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0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V11:AF11 C99:AF105">
    <cfRule type="expression" dxfId="4178" priority="426">
      <formula>B$9&gt;=20/24</formula>
    </cfRule>
    <cfRule type="expression" dxfId="4177" priority="427">
      <formula>AND(B$9&gt;=14/24,B$9&lt;20/24)</formula>
    </cfRule>
    <cfRule type="expression" dxfId="4176" priority="428">
      <formula>AND(B$9&gt;=8/24,B$9&lt;14/24)</formula>
    </cfRule>
    <cfRule type="expression" dxfId="4175" priority="429">
      <formula>B$9&lt;8/24</formula>
    </cfRule>
  </conditionalFormatting>
  <conditionalFormatting sqref="AL4:AL6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174" priority="421">
      <formula>S$9&gt;=20/24</formula>
    </cfRule>
    <cfRule type="expression" dxfId="4173" priority="422">
      <formula>AND(S$9&gt;=14/24,S$9&lt;20/24)</formula>
    </cfRule>
    <cfRule type="expression" dxfId="4172" priority="423">
      <formula>AND(S$9&gt;=8/24,S$9&lt;14/24)</formula>
    </cfRule>
    <cfRule type="expression" dxfId="4171" priority="424">
      <formula>S$9&lt;8/24</formula>
    </cfRule>
  </conditionalFormatting>
  <conditionalFormatting sqref="AG55 S37:AF37 Z35:AF35 S11:AF16">
    <cfRule type="expression" dxfId="4170" priority="420">
      <formula>S11&gt;$AG11</formula>
    </cfRule>
  </conditionalFormatting>
  <conditionalFormatting sqref="A89:A102 A11:A14 A49:A76 A85:A87 A191:A221 A16:A30 A36:A47 A107:A178 A32:A33 A81:A83 A78:A79">
    <cfRule type="expression" dxfId="4169" priority="419">
      <formula>$AH11=0</formula>
    </cfRule>
  </conditionalFormatting>
  <conditionalFormatting sqref="A103">
    <cfRule type="expression" dxfId="4168" priority="418">
      <formula>$AH103=0</formula>
    </cfRule>
  </conditionalFormatting>
  <conditionalFormatting sqref="AL33">
    <cfRule type="iconSet" priority="417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167" priority="416">
      <formula>$AH35=0</formula>
    </cfRule>
  </conditionalFormatting>
  <conditionalFormatting sqref="A88">
    <cfRule type="expression" dxfId="4166" priority="415">
      <formula>$AH88=0</formula>
    </cfRule>
  </conditionalFormatting>
  <conditionalFormatting sqref="A15">
    <cfRule type="expression" dxfId="4165" priority="414">
      <formula>$AH15=0</formula>
    </cfRule>
  </conditionalFormatting>
  <conditionalFormatting sqref="A185:A190">
    <cfRule type="expression" dxfId="4164" priority="413">
      <formula>$AH185=0</formula>
    </cfRule>
  </conditionalFormatting>
  <conditionalFormatting sqref="A179:A184">
    <cfRule type="expression" dxfId="4163" priority="412">
      <formula>$AH179=0</formula>
    </cfRule>
  </conditionalFormatting>
  <conditionalFormatting sqref="A48">
    <cfRule type="expression" dxfId="4162" priority="411">
      <formula>$AH48=0</formula>
    </cfRule>
  </conditionalFormatting>
  <conditionalFormatting sqref="A84">
    <cfRule type="expression" dxfId="4161" priority="410">
      <formula>$AH84=0</formula>
    </cfRule>
  </conditionalFormatting>
  <conditionalFormatting sqref="C89:AF89">
    <cfRule type="expression" dxfId="4160" priority="406">
      <formula>C$9&gt;=20/24</formula>
    </cfRule>
    <cfRule type="expression" dxfId="4159" priority="407">
      <formula>AND(C$9&gt;=14/24,C$9&lt;20/24)</formula>
    </cfRule>
    <cfRule type="expression" dxfId="4158" priority="408">
      <formula>AND(C$9&gt;=8/24,C$9&lt;14/24)</formula>
    </cfRule>
    <cfRule type="expression" dxfId="4157" priority="409">
      <formula>C$9&lt;8/24</formula>
    </cfRule>
  </conditionalFormatting>
  <conditionalFormatting sqref="AL34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56" priority="432">
      <formula>C$9&gt;=20/24</formula>
    </cfRule>
    <cfRule type="expression" dxfId="4155" priority="433">
      <formula>AND(C$9&gt;=14/24,C$9&lt;20/24)</formula>
    </cfRule>
    <cfRule type="expression" dxfId="4154" priority="434">
      <formula>AND(C$9&gt;=8/24,C$9&lt;14/24)</formula>
    </cfRule>
    <cfRule type="expression" dxfId="4153" priority="435">
      <formula>C$9&lt;8/24</formula>
    </cfRule>
  </conditionalFormatting>
  <conditionalFormatting sqref="A222">
    <cfRule type="expression" dxfId="4152" priority="436">
      <formula>$AH222=0</formula>
    </cfRule>
  </conditionalFormatting>
  <conditionalFormatting sqref="AG234">
    <cfRule type="expression" dxfId="4151" priority="437">
      <formula>B$9&gt;=20/24</formula>
    </cfRule>
    <cfRule type="expression" dxfId="4150" priority="438">
      <formula>AND(B$9&gt;=14/24,B$9&lt;20/24)</formula>
    </cfRule>
    <cfRule type="expression" dxfId="4149" priority="439">
      <formula>AND(B$9&gt;=8/24,B$9&lt;14/24)</formula>
    </cfRule>
    <cfRule type="expression" dxfId="4148" priority="440">
      <formula>B$9&lt;8/24</formula>
    </cfRule>
  </conditionalFormatting>
  <conditionalFormatting sqref="S8">
    <cfRule type="expression" dxfId="4147" priority="401">
      <formula>U$9&gt;=20/24</formula>
    </cfRule>
    <cfRule type="expression" dxfId="4146" priority="402">
      <formula>AND(U$9&gt;=14/24,U$9&lt;20/24)</formula>
    </cfRule>
    <cfRule type="expression" dxfId="4145" priority="403">
      <formula>AND(U$9&gt;=8/24,U$9&lt;14/24)</formula>
    </cfRule>
    <cfRule type="expression" dxfId="4144" priority="404">
      <formula>U$9&lt;8/24</formula>
    </cfRule>
  </conditionalFormatting>
  <conditionalFormatting sqref="AB8">
    <cfRule type="expression" dxfId="4143" priority="397">
      <formula>AD$9&gt;=20/24</formula>
    </cfRule>
    <cfRule type="expression" dxfId="4142" priority="398">
      <formula>AND(AD$9&gt;=14/24,AD$9&lt;20/24)</formula>
    </cfRule>
    <cfRule type="expression" dxfId="4141" priority="399">
      <formula>AND(AD$9&gt;=8/24,AD$9&lt;14/24)</formula>
    </cfRule>
    <cfRule type="expression" dxfId="4140" priority="400">
      <formula>AD$9&lt;8/24</formula>
    </cfRule>
  </conditionalFormatting>
  <conditionalFormatting sqref="AH234:AX234">
    <cfRule type="expression" dxfId="4139" priority="441">
      <formula>AG$9&gt;=20/24</formula>
    </cfRule>
    <cfRule type="expression" dxfId="4138" priority="442">
      <formula>AND(AG$9&gt;=14/24,AG$9&lt;20/24)</formula>
    </cfRule>
    <cfRule type="expression" dxfId="4137" priority="443">
      <formula>AND(AG$9&gt;=8/24,AG$9&lt;14/24)</formula>
    </cfRule>
    <cfRule type="expression" dxfId="4136" priority="444">
      <formula>AG$9&lt;8/24</formula>
    </cfRule>
  </conditionalFormatting>
  <conditionalFormatting sqref="T234">
    <cfRule type="expression" dxfId="4135" priority="445">
      <formula>AX$9&gt;=20/24</formula>
    </cfRule>
    <cfRule type="expression" dxfId="4134" priority="446">
      <formula>AND(AX$9&gt;=14/24,AX$9&lt;20/24)</formula>
    </cfRule>
    <cfRule type="expression" dxfId="4133" priority="447">
      <formula>AND(AX$9&gt;=8/24,AX$9&lt;14/24)</formula>
    </cfRule>
    <cfRule type="expression" dxfId="4132" priority="448">
      <formula>AX$9&lt;8/24</formula>
    </cfRule>
  </conditionalFormatting>
  <conditionalFormatting sqref="A104:A105">
    <cfRule type="expression" dxfId="4131" priority="396">
      <formula>$AH104=0</formula>
    </cfRule>
  </conditionalFormatting>
  <conditionalFormatting sqref="S44:W45 E44:M45 Z36:AF36 Y44:AF45 C61:AF61">
    <cfRule type="expression" dxfId="4130" priority="392">
      <formula>C$9&gt;=20/24</formula>
    </cfRule>
    <cfRule type="expression" dxfId="4129" priority="393">
      <formula>AND(C$9&gt;=14/24,C$9&lt;20/24)</formula>
    </cfRule>
    <cfRule type="expression" dxfId="4128" priority="394">
      <formula>AND(C$9&gt;=8/24,C$9&lt;14/24)</formula>
    </cfRule>
    <cfRule type="expression" dxfId="4127" priority="395">
      <formula>C$9&lt;8/24</formula>
    </cfRule>
  </conditionalFormatting>
  <conditionalFormatting sqref="S43:W43 E43:M43 Y43:AF43">
    <cfRule type="expression" dxfId="4126" priority="388">
      <formula>E$9&gt;=20/24</formula>
    </cfRule>
    <cfRule type="expression" dxfId="4125" priority="389">
      <formula>AND(E$9&gt;=14/24,E$9&lt;20/24)</formula>
    </cfRule>
    <cfRule type="expression" dxfId="4124" priority="390">
      <formula>AND(E$9&gt;=8/24,E$9&lt;14/24)</formula>
    </cfRule>
    <cfRule type="expression" dxfId="4123" priority="391">
      <formula>E$9&lt;8/24</formula>
    </cfRule>
  </conditionalFormatting>
  <conditionalFormatting sqref="S43:W45 E43:M45 Z36:AF36 Y43:AF45">
    <cfRule type="expression" dxfId="4122" priority="387">
      <formula>E36&gt;$AG36</formula>
    </cfRule>
  </conditionalFormatting>
  <conditionalFormatting sqref="C86:AF86 C71:M71 C62:M67 C73:AF76 N37:R37 S18:Y21 Z24:AF26 Z28:AF28 Z18:AF22 S12:AF14 S16:AF16 C57:AF59 N62:AF71 C90:AF96 Z30:AF32">
    <cfRule type="expression" dxfId="4121" priority="383">
      <formula>C$9&gt;=20/24</formula>
    </cfRule>
    <cfRule type="expression" dxfId="4120" priority="384">
      <formula>AND(C$9&gt;=14/24,C$9&lt;20/24)</formula>
    </cfRule>
    <cfRule type="expression" dxfId="4119" priority="385">
      <formula>AND(C$9&gt;=8/24,C$9&lt;14/24)</formula>
    </cfRule>
    <cfRule type="expression" dxfId="4118" priority="386">
      <formula>C$9&lt;8/24</formula>
    </cfRule>
  </conditionalFormatting>
  <conditionalFormatting sqref="Z33:AF33">
    <cfRule type="expression" dxfId="4117" priority="379">
      <formula>Z$9&gt;=20/24</formula>
    </cfRule>
    <cfRule type="expression" dxfId="4116" priority="380">
      <formula>AND(Z$9&gt;=14/24,Z$9&lt;20/24)</formula>
    </cfRule>
    <cfRule type="expression" dxfId="4115" priority="381">
      <formula>AND(Z$9&gt;=8/24,Z$9&lt;14/24)</formula>
    </cfRule>
    <cfRule type="expression" dxfId="4114" priority="382">
      <formula>Z$9&lt;8/24</formula>
    </cfRule>
  </conditionalFormatting>
  <conditionalFormatting sqref="C55:AF55 E46:M47 E37:R37 S18:Y21 Z24:AF28 Z18:AF22 AC46:AF47 C57:AF59 Z30:AF33">
    <cfRule type="expression" dxfId="4113" priority="378">
      <formula>C18&gt;$AG18</formula>
    </cfRule>
  </conditionalFormatting>
  <conditionalFormatting sqref="Z35:AF35">
    <cfRule type="expression" dxfId="4112" priority="374">
      <formula>Z$9&gt;=20/24</formula>
    </cfRule>
    <cfRule type="expression" dxfId="4111" priority="375">
      <formula>AND(Z$9&gt;=14/24,Z$9&lt;20/24)</formula>
    </cfRule>
    <cfRule type="expression" dxfId="4110" priority="376">
      <formula>AND(Z$9&gt;=8/24,Z$9&lt;14/24)</formula>
    </cfRule>
    <cfRule type="expression" dxfId="4109" priority="377">
      <formula>Z$9&lt;8/24</formula>
    </cfRule>
  </conditionalFormatting>
  <conditionalFormatting sqref="S15:AF15">
    <cfRule type="expression" dxfId="4108" priority="370">
      <formula>S$9&gt;=20/24</formula>
    </cfRule>
    <cfRule type="expression" dxfId="4107" priority="371">
      <formula>AND(S$9&gt;=14/24,S$9&lt;20/24)</formula>
    </cfRule>
    <cfRule type="expression" dxfId="4106" priority="372">
      <formula>AND(S$9&gt;=8/24,S$9&lt;14/24)</formula>
    </cfRule>
    <cfRule type="expression" dxfId="4105" priority="373">
      <formula>S$9&lt;8/24</formula>
    </cfRule>
  </conditionalFormatting>
  <conditionalFormatting sqref="Z34:AF34">
    <cfRule type="expression" dxfId="4104" priority="366">
      <formula>Z$9&gt;=20/24</formula>
    </cfRule>
    <cfRule type="expression" dxfId="4103" priority="367">
      <formula>AND(Z$9&gt;=14/24,Z$9&lt;20/24)</formula>
    </cfRule>
    <cfRule type="expression" dxfId="4102" priority="368">
      <formula>AND(Z$9&gt;=8/24,Z$9&lt;14/24)</formula>
    </cfRule>
    <cfRule type="expression" dxfId="4101" priority="369">
      <formula>Z$9&lt;8/24</formula>
    </cfRule>
  </conditionalFormatting>
  <conditionalFormatting sqref="Z34:AF34">
    <cfRule type="expression" dxfId="4100" priority="365">
      <formula>Z34&gt;$AG34</formula>
    </cfRule>
  </conditionalFormatting>
  <conditionalFormatting sqref="S11:U11">
    <cfRule type="expression" dxfId="4099" priority="361">
      <formula>S$9&gt;=20/24</formula>
    </cfRule>
    <cfRule type="expression" dxfId="4098" priority="362">
      <formula>AND(S$9&gt;=14/24,S$9&lt;20/24)</formula>
    </cfRule>
    <cfRule type="expression" dxfId="4097" priority="363">
      <formula>AND(S$9&gt;=8/24,S$9&lt;14/24)</formula>
    </cfRule>
    <cfRule type="expression" dxfId="4096" priority="364">
      <formula>S$9&lt;8/24</formula>
    </cfRule>
  </conditionalFormatting>
  <conditionalFormatting sqref="V46:AB47 AC48:AF48">
    <cfRule type="expression" dxfId="4095" priority="357">
      <formula>V$9&gt;=20/24</formula>
    </cfRule>
    <cfRule type="expression" dxfId="4094" priority="358">
      <formula>AND(V$9&gt;=14/24,V$9&lt;20/24)</formula>
    </cfRule>
    <cfRule type="expression" dxfId="4093" priority="359">
      <formula>AND(V$9&gt;=8/24,V$9&lt;14/24)</formula>
    </cfRule>
    <cfRule type="expression" dxfId="4092" priority="360">
      <formula>V$9&lt;8/24</formula>
    </cfRule>
  </conditionalFormatting>
  <conditionalFormatting sqref="V46:AB47 AC48:AF48">
    <cfRule type="expression" dxfId="4091" priority="356">
      <formula>V46&gt;$AG46</formula>
    </cfRule>
  </conditionalFormatting>
  <conditionalFormatting sqref="N43:R54 S46:U54 V48:AB54 AC49:AF54">
    <cfRule type="expression" dxfId="4090" priority="352">
      <formula>N$9&gt;=20/24</formula>
    </cfRule>
    <cfRule type="expression" dxfId="4089" priority="353">
      <formula>AND(N$9&gt;=14/24,N$9&lt;20/24)</formula>
    </cfRule>
    <cfRule type="expression" dxfId="4088" priority="354">
      <formula>AND(N$9&gt;=8/24,N$9&lt;14/24)</formula>
    </cfRule>
    <cfRule type="expression" dxfId="4087" priority="355">
      <formula>N$9&lt;8/24</formula>
    </cfRule>
  </conditionalFormatting>
  <conditionalFormatting sqref="N43:R54 S46:U54 V48:AB54 AC49:AF54">
    <cfRule type="expression" dxfId="4086" priority="351">
      <formula>N43&gt;$AG43</formula>
    </cfRule>
  </conditionalFormatting>
  <conditionalFormatting sqref="Z27:AF27">
    <cfRule type="expression" dxfId="4085" priority="347">
      <formula>Z$9&gt;=20/24</formula>
    </cfRule>
    <cfRule type="expression" dxfId="4084" priority="348">
      <formula>AND(Z$9&gt;=14/24,Z$9&lt;20/24)</formula>
    </cfRule>
    <cfRule type="expression" dxfId="4083" priority="349">
      <formula>AND(Z$9&gt;=8/24,Z$9&lt;14/24)</formula>
    </cfRule>
    <cfRule type="expression" dxfId="4082" priority="350">
      <formula>Z$9&lt;8/24</formula>
    </cfRule>
  </conditionalFormatting>
  <conditionalFormatting sqref="I26:Y26 Z23:AF23 S17:AF17">
    <cfRule type="expression" dxfId="4081" priority="343">
      <formula>I$9&gt;=20/24</formula>
    </cfRule>
    <cfRule type="expression" dxfId="4080" priority="344">
      <formula>AND(I$9&gt;=14/24,I$9&lt;20/24)</formula>
    </cfRule>
    <cfRule type="expression" dxfId="4079" priority="345">
      <formula>AND(I$9&gt;=8/24,I$9&lt;14/24)</formula>
    </cfRule>
    <cfRule type="expression" dxfId="4078" priority="346">
      <formula>I$9&lt;8/24</formula>
    </cfRule>
  </conditionalFormatting>
  <conditionalFormatting sqref="I26:Y26 Z23:AF23 S17:AF17">
    <cfRule type="expression" dxfId="4077" priority="338">
      <formula>I17&gt;$AG17</formula>
    </cfRule>
  </conditionalFormatting>
  <conditionalFormatting sqref="C44:D45">
    <cfRule type="expression" dxfId="4076" priority="321">
      <formula>C$9&gt;=20/24</formula>
    </cfRule>
    <cfRule type="expression" dxfId="4075" priority="322">
      <formula>AND(C$9&gt;=14/24,C$9&lt;20/24)</formula>
    </cfRule>
    <cfRule type="expression" dxfId="4074" priority="323">
      <formula>AND(C$9&gt;=8/24,C$9&lt;14/24)</formula>
    </cfRule>
    <cfRule type="expression" dxfId="4073" priority="324">
      <formula>C$9&lt;8/24</formula>
    </cfRule>
  </conditionalFormatting>
  <conditionalFormatting sqref="C43:D43">
    <cfRule type="expression" dxfId="4072" priority="317">
      <formula>C$9&gt;=20/24</formula>
    </cfRule>
    <cfRule type="expression" dxfId="4071" priority="318">
      <formula>AND(C$9&gt;=14/24,C$9&lt;20/24)</formula>
    </cfRule>
    <cfRule type="expression" dxfId="4070" priority="319">
      <formula>AND(C$9&gt;=8/24,C$9&lt;14/24)</formula>
    </cfRule>
    <cfRule type="expression" dxfId="4069" priority="320">
      <formula>C$9&lt;8/24</formula>
    </cfRule>
  </conditionalFormatting>
  <conditionalFormatting sqref="C43:D45">
    <cfRule type="expression" dxfId="4068" priority="316">
      <formula>C43&gt;$AG43</formula>
    </cfRule>
  </conditionalFormatting>
  <conditionalFormatting sqref="C68:M70">
    <cfRule type="expression" dxfId="4067" priority="312">
      <formula>C$9&gt;=20/24</formula>
    </cfRule>
    <cfRule type="expression" dxfId="4066" priority="313">
      <formula>AND(C$9&gt;=14/24,C$9&lt;20/24)</formula>
    </cfRule>
    <cfRule type="expression" dxfId="4065" priority="314">
      <formula>AND(C$9&gt;=8/24,C$9&lt;14/24)</formula>
    </cfRule>
    <cfRule type="expression" dxfId="4064" priority="315">
      <formula>C$9&lt;8/24</formula>
    </cfRule>
  </conditionalFormatting>
  <conditionalFormatting sqref="C46:D47">
    <cfRule type="expression" dxfId="4063" priority="311">
      <formula>C46&gt;$AG46</formula>
    </cfRule>
  </conditionalFormatting>
  <conditionalFormatting sqref="C48:M54">
    <cfRule type="expression" dxfId="4062" priority="307">
      <formula>C$9&gt;=20/24</formula>
    </cfRule>
    <cfRule type="expression" dxfId="4061" priority="308">
      <formula>AND(C$9&gt;=14/24,C$9&lt;20/24)</formula>
    </cfRule>
    <cfRule type="expression" dxfId="4060" priority="309">
      <formula>AND(C$9&gt;=8/24,C$9&lt;14/24)</formula>
    </cfRule>
    <cfRule type="expression" dxfId="4059" priority="310">
      <formula>C$9&lt;8/24</formula>
    </cfRule>
  </conditionalFormatting>
  <conditionalFormatting sqref="C48:M54">
    <cfRule type="expression" dxfId="4058" priority="306">
      <formula>C48&gt;$AG48</formula>
    </cfRule>
  </conditionalFormatting>
  <conditionalFormatting sqref="X44:X45">
    <cfRule type="expression" dxfId="4057" priority="302">
      <formula>X$9&gt;=20/24</formula>
    </cfRule>
    <cfRule type="expression" dxfId="4056" priority="303">
      <formula>AND(X$9&gt;=14/24,X$9&lt;20/24)</formula>
    </cfRule>
    <cfRule type="expression" dxfId="4055" priority="304">
      <formula>AND(X$9&gt;=8/24,X$9&lt;14/24)</formula>
    </cfRule>
    <cfRule type="expression" dxfId="4054" priority="305">
      <formula>X$9&lt;8/24</formula>
    </cfRule>
  </conditionalFormatting>
  <conditionalFormatting sqref="X43">
    <cfRule type="expression" dxfId="4053" priority="298">
      <formula>X$9&gt;=20/24</formula>
    </cfRule>
    <cfRule type="expression" dxfId="4052" priority="299">
      <formula>AND(X$9&gt;=14/24,X$9&lt;20/24)</formula>
    </cfRule>
    <cfRule type="expression" dxfId="4051" priority="300">
      <formula>AND(X$9&gt;=8/24,X$9&lt;14/24)</formula>
    </cfRule>
    <cfRule type="expression" dxfId="4050" priority="301">
      <formula>X$9&lt;8/24</formula>
    </cfRule>
  </conditionalFormatting>
  <conditionalFormatting sqref="X43:X45">
    <cfRule type="expression" dxfId="4049" priority="297">
      <formula>X43&gt;$AG43</formula>
    </cfRule>
  </conditionalFormatting>
  <conditionalFormatting sqref="C78:AF78 C87:AF87">
    <cfRule type="expression" dxfId="4048" priority="293">
      <formula>C$9&gt;=20/24</formula>
    </cfRule>
    <cfRule type="expression" dxfId="4047" priority="294">
      <formula>AND(C$9&gt;=14/24,C$9&lt;20/24)</formula>
    </cfRule>
    <cfRule type="expression" dxfId="4046" priority="295">
      <formula>AND(C$9&gt;=8/24,C$9&lt;14/24)</formula>
    </cfRule>
    <cfRule type="expression" dxfId="4045" priority="296">
      <formula>C$9&lt;8/24</formula>
    </cfRule>
  </conditionalFormatting>
  <conditionalFormatting sqref="C79:AF79 C60:AG60 C77:AG77 C88:AF88">
    <cfRule type="expression" dxfId="4044" priority="271">
      <formula>C$9&gt;=20/24</formula>
    </cfRule>
    <cfRule type="expression" dxfId="4043" priority="272">
      <formula>AND(C$9&gt;=14/24,C$9&lt;20/24)</formula>
    </cfRule>
    <cfRule type="expression" dxfId="4042" priority="273">
      <formula>AND(C$9&gt;=8/24,C$9&lt;14/24)</formula>
    </cfRule>
    <cfRule type="expression" dxfId="4041" priority="274">
      <formula>C$9&lt;8/24</formula>
    </cfRule>
  </conditionalFormatting>
  <conditionalFormatting sqref="C38:AG38 C56:AG56 C60:AG60">
    <cfRule type="expression" dxfId="4040" priority="266">
      <formula>C38&gt;$AG38</formula>
    </cfRule>
  </conditionalFormatting>
  <conditionalFormatting sqref="A34">
    <cfRule type="expression" dxfId="4039" priority="238">
      <formula>$AH34=0</formula>
    </cfRule>
  </conditionalFormatting>
  <conditionalFormatting sqref="C72:AF72">
    <cfRule type="expression" dxfId="4038" priority="234">
      <formula>C$9&gt;=20/24</formula>
    </cfRule>
    <cfRule type="expression" dxfId="4037" priority="235">
      <formula>AND(C$9&gt;=14/24,C$9&lt;20/24)</formula>
    </cfRule>
    <cfRule type="expression" dxfId="4036" priority="236">
      <formula>AND(C$9&gt;=8/24,C$9&lt;14/24)</formula>
    </cfRule>
    <cfRule type="expression" dxfId="4035" priority="237">
      <formula>C$9&lt;8/24</formula>
    </cfRule>
  </conditionalFormatting>
  <conditionalFormatting sqref="C81:AF85">
    <cfRule type="expression" dxfId="4034" priority="230">
      <formula>C$9&gt;=20/24</formula>
    </cfRule>
    <cfRule type="expression" dxfId="4033" priority="231">
      <formula>AND(C$9&gt;=14/24,C$9&lt;20/24)</formula>
    </cfRule>
    <cfRule type="expression" dxfId="4032" priority="232">
      <formula>AND(C$9&gt;=8/24,C$9&lt;14/24)</formula>
    </cfRule>
    <cfRule type="expression" dxfId="4031" priority="233">
      <formula>C$9&lt;8/24</formula>
    </cfRule>
  </conditionalFormatting>
  <conditionalFormatting sqref="AL35 AL7:AL30 AL32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4030" priority="226">
      <formula>C$9&gt;=20/24</formula>
    </cfRule>
    <cfRule type="expression" dxfId="4029" priority="227">
      <formula>AND(C$9&gt;=14/24,C$9&lt;20/24)</formula>
    </cfRule>
    <cfRule type="expression" dxfId="4028" priority="228">
      <formula>AND(C$9&gt;=8/24,C$9&lt;14/24)</formula>
    </cfRule>
    <cfRule type="expression" dxfId="4027" priority="229">
      <formula>C$9&lt;8/24</formula>
    </cfRule>
  </conditionalFormatting>
  <conditionalFormatting sqref="C39:AF41">
    <cfRule type="expression" dxfId="4026" priority="225">
      <formula>C39&gt;$AG39</formula>
    </cfRule>
  </conditionalFormatting>
  <conditionalFormatting sqref="C42:AG42">
    <cfRule type="expression" dxfId="4025" priority="221">
      <formula>C$9&gt;=20/24</formula>
    </cfRule>
    <cfRule type="expression" dxfId="4024" priority="222">
      <formula>AND(C$9&gt;=14/24,C$9&lt;20/24)</formula>
    </cfRule>
    <cfRule type="expression" dxfId="4023" priority="223">
      <formula>AND(C$9&gt;=8/24,C$9&lt;14/24)</formula>
    </cfRule>
    <cfRule type="expression" dxfId="4022" priority="224">
      <formula>C$9&lt;8/24</formula>
    </cfRule>
  </conditionalFormatting>
  <conditionalFormatting sqref="C42:AG42">
    <cfRule type="expression" dxfId="4021" priority="220">
      <formula>C42&gt;$AG42</formula>
    </cfRule>
  </conditionalFormatting>
  <conditionalFormatting sqref="C97:AF97">
    <cfRule type="expression" dxfId="4020" priority="216">
      <formula>C$9&gt;=20/24</formula>
    </cfRule>
    <cfRule type="expression" dxfId="4019" priority="217">
      <formula>AND(C$9&gt;=14/24,C$9&lt;20/24)</formula>
    </cfRule>
    <cfRule type="expression" dxfId="4018" priority="218">
      <formula>AND(C$9&gt;=8/24,C$9&lt;14/24)</formula>
    </cfRule>
    <cfRule type="expression" dxfId="4017" priority="219">
      <formula>C$9&lt;8/24</formula>
    </cfRule>
  </conditionalFormatting>
  <conditionalFormatting sqref="AL31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4016" priority="206">
      <formula>$AH31=0</formula>
    </cfRule>
  </conditionalFormatting>
  <conditionalFormatting sqref="A80">
    <cfRule type="expression" dxfId="4015" priority="204">
      <formula>$AH80=0</formula>
    </cfRule>
  </conditionalFormatting>
  <conditionalFormatting sqref="A77">
    <cfRule type="expression" dxfId="4014" priority="205">
      <formula>$AH77=0</formula>
    </cfRule>
  </conditionalFormatting>
  <conditionalFormatting sqref="A106">
    <cfRule type="expression" dxfId="4013" priority="195">
      <formula>$AH106=0</formula>
    </cfRule>
  </conditionalFormatting>
  <conditionalFormatting sqref="B99:B105 B11:R11">
    <cfRule type="expression" dxfId="4012" priority="94">
      <formula>B$9&gt;=20/24</formula>
    </cfRule>
    <cfRule type="expression" dxfId="4011" priority="95">
      <formula>AND(B$9&gt;=14/24,B$9&lt;20/24)</formula>
    </cfRule>
    <cfRule type="expression" dxfId="4010" priority="96">
      <formula>AND(B$9&gt;=8/24,B$9&lt;14/24)</formula>
    </cfRule>
    <cfRule type="expression" dxfId="4009" priority="97">
      <formula>B$9&lt;8/24</formula>
    </cfRule>
  </conditionalFormatting>
  <conditionalFormatting sqref="B37:D37">
    <cfRule type="expression" dxfId="4008" priority="90">
      <formula>B$9&gt;=20/24</formula>
    </cfRule>
    <cfRule type="expression" dxfId="4007" priority="91">
      <formula>AND(B$9&gt;=14/24,B$9&lt;20/24)</formula>
    </cfRule>
    <cfRule type="expression" dxfId="4006" priority="92">
      <formula>AND(B$9&gt;=8/24,B$9&lt;14/24)</formula>
    </cfRule>
    <cfRule type="expression" dxfId="4005" priority="93">
      <formula>B$9&lt;8/24</formula>
    </cfRule>
  </conditionalFormatting>
  <conditionalFormatting sqref="B37:D37 B11:R16 B35:Y35">
    <cfRule type="expression" dxfId="4004" priority="89">
      <formula>B11&gt;$AG11</formula>
    </cfRule>
  </conditionalFormatting>
  <conditionalFormatting sqref="B89">
    <cfRule type="expression" dxfId="4003" priority="85">
      <formula>B$9&gt;=20/24</formula>
    </cfRule>
    <cfRule type="expression" dxfId="4002" priority="86">
      <formula>AND(B$9&gt;=14/24,B$9&lt;20/24)</formula>
    </cfRule>
    <cfRule type="expression" dxfId="4001" priority="87">
      <formula>AND(B$9&gt;=8/24,B$9&lt;14/24)</formula>
    </cfRule>
    <cfRule type="expression" dxfId="4000" priority="88">
      <formula>B$9&lt;8/24</formula>
    </cfRule>
  </conditionalFormatting>
  <conditionalFormatting sqref="B61 B44:B45 B36:Y36">
    <cfRule type="expression" dxfId="3999" priority="81">
      <formula>B$9&gt;=20/24</formula>
    </cfRule>
    <cfRule type="expression" dxfId="3998" priority="82">
      <formula>AND(B$9&gt;=14/24,B$9&lt;20/24)</formula>
    </cfRule>
    <cfRule type="expression" dxfId="3997" priority="83">
      <formula>AND(B$9&gt;=8/24,B$9&lt;14/24)</formula>
    </cfRule>
    <cfRule type="expression" dxfId="3996" priority="84">
      <formula>B$9&lt;8/24</formula>
    </cfRule>
  </conditionalFormatting>
  <conditionalFormatting sqref="B43">
    <cfRule type="expression" dxfId="3995" priority="77">
      <formula>B$9&gt;=20/24</formula>
    </cfRule>
    <cfRule type="expression" dxfId="3994" priority="78">
      <formula>AND(B$9&gt;=14/24,B$9&lt;20/24)</formula>
    </cfRule>
    <cfRule type="expression" dxfId="3993" priority="79">
      <formula>AND(B$9&gt;=8/24,B$9&lt;14/24)</formula>
    </cfRule>
    <cfRule type="expression" dxfId="3992" priority="80">
      <formula>B$9&lt;8/24</formula>
    </cfRule>
  </conditionalFormatting>
  <conditionalFormatting sqref="B43:B45 B36:Y36">
    <cfRule type="expression" dxfId="3991" priority="76">
      <formula>B36&gt;$AG36</formula>
    </cfRule>
  </conditionalFormatting>
  <conditionalFormatting sqref="B86 B62:B71 B90:B96 B73:B76 B57:B59 B24:H26 B12:R14 B16:R16 B18:R22 I24:Y25 S22:Y22 B28:Y28 B30:Y32 B29:AF29">
    <cfRule type="expression" dxfId="3990" priority="72">
      <formula>B$9&gt;=20/24</formula>
    </cfRule>
    <cfRule type="expression" dxfId="3989" priority="73">
      <formula>AND(B$9&gt;=14/24,B$9&lt;20/24)</formula>
    </cfRule>
    <cfRule type="expression" dxfId="3988" priority="74">
      <formula>AND(B$9&gt;=8/24,B$9&lt;14/24)</formula>
    </cfRule>
    <cfRule type="expression" dxfId="3987" priority="75">
      <formula>B$9&lt;8/24</formula>
    </cfRule>
  </conditionalFormatting>
  <conditionalFormatting sqref="B33:Y33">
    <cfRule type="expression" dxfId="3986" priority="68">
      <formula>B$9&gt;=20/24</formula>
    </cfRule>
    <cfRule type="expression" dxfId="3985" priority="69">
      <formula>AND(B$9&gt;=14/24,B$9&lt;20/24)</formula>
    </cfRule>
    <cfRule type="expression" dxfId="3984" priority="70">
      <formula>AND(B$9&gt;=8/24,B$9&lt;14/24)</formula>
    </cfRule>
    <cfRule type="expression" dxfId="3983" priority="71">
      <formula>B$9&lt;8/24</formula>
    </cfRule>
  </conditionalFormatting>
  <conditionalFormatting sqref="B46:B47 B55 B57:B59 B24:H33 B18:R22 I24:Y25 S22:Y22 I27:Y28 I30:Y33 I29:AF29">
    <cfRule type="expression" dxfId="3982" priority="67">
      <formula>B18&gt;$AG18</formula>
    </cfRule>
  </conditionalFormatting>
  <conditionalFormatting sqref="B35:Y35">
    <cfRule type="expression" dxfId="3981" priority="63">
      <formula>B$9&gt;=20/24</formula>
    </cfRule>
    <cfRule type="expression" dxfId="3980" priority="64">
      <formula>AND(B$9&gt;=14/24,B$9&lt;20/24)</formula>
    </cfRule>
    <cfRule type="expression" dxfId="3979" priority="65">
      <formula>AND(B$9&gt;=8/24,B$9&lt;14/24)</formula>
    </cfRule>
    <cfRule type="expression" dxfId="3978" priority="66">
      <formula>B$9&lt;8/24</formula>
    </cfRule>
  </conditionalFormatting>
  <conditionalFormatting sqref="B15:R15">
    <cfRule type="expression" dxfId="3977" priority="59">
      <formula>B$9&gt;=20/24</formula>
    </cfRule>
    <cfRule type="expression" dxfId="3976" priority="60">
      <formula>AND(B$9&gt;=14/24,B$9&lt;20/24)</formula>
    </cfRule>
    <cfRule type="expression" dxfId="3975" priority="61">
      <formula>AND(B$9&gt;=8/24,B$9&lt;14/24)</formula>
    </cfRule>
    <cfRule type="expression" dxfId="3974" priority="62">
      <formula>B$9&lt;8/24</formula>
    </cfRule>
  </conditionalFormatting>
  <conditionalFormatting sqref="B34:Y34">
    <cfRule type="expression" dxfId="3973" priority="55">
      <formula>B$9&gt;=20/24</formula>
    </cfRule>
    <cfRule type="expression" dxfId="3972" priority="56">
      <formula>AND(B$9&gt;=14/24,B$9&lt;20/24)</formula>
    </cfRule>
    <cfRule type="expression" dxfId="3971" priority="57">
      <formula>AND(B$9&gt;=8/24,B$9&lt;14/24)</formula>
    </cfRule>
    <cfRule type="expression" dxfId="3970" priority="58">
      <formula>B$9&lt;8/24</formula>
    </cfRule>
  </conditionalFormatting>
  <conditionalFormatting sqref="B34:Y34">
    <cfRule type="expression" dxfId="3969" priority="54">
      <formula>B34&gt;$AG34</formula>
    </cfRule>
  </conditionalFormatting>
  <conditionalFormatting sqref="B48:B54">
    <cfRule type="expression" dxfId="3968" priority="50">
      <formula>B$9&gt;=20/24</formula>
    </cfRule>
    <cfRule type="expression" dxfId="3967" priority="51">
      <formula>AND(B$9&gt;=14/24,B$9&lt;20/24)</formula>
    </cfRule>
    <cfRule type="expression" dxfId="3966" priority="52">
      <formula>AND(B$9&gt;=8/24,B$9&lt;14/24)</formula>
    </cfRule>
    <cfRule type="expression" dxfId="3965" priority="53">
      <formula>B$9&lt;8/24</formula>
    </cfRule>
  </conditionalFormatting>
  <conditionalFormatting sqref="B48:B54">
    <cfRule type="expression" dxfId="3964" priority="49">
      <formula>B48&gt;$AG48</formula>
    </cfRule>
  </conditionalFormatting>
  <conditionalFormatting sqref="B27:Y27">
    <cfRule type="expression" dxfId="3963" priority="45">
      <formula>B$9&gt;=20/24</formula>
    </cfRule>
    <cfRule type="expression" dxfId="3962" priority="46">
      <formula>AND(B$9&gt;=14/24,B$9&lt;20/24)</formula>
    </cfRule>
    <cfRule type="expression" dxfId="3961" priority="47">
      <formula>AND(B$9&gt;=8/24,B$9&lt;14/24)</formula>
    </cfRule>
    <cfRule type="expression" dxfId="3960" priority="48">
      <formula>B$9&lt;8/24</formula>
    </cfRule>
  </conditionalFormatting>
  <conditionalFormatting sqref="B23:Y23 B17:R17">
    <cfRule type="expression" dxfId="3959" priority="41">
      <formula>B$9&gt;=20/24</formula>
    </cfRule>
    <cfRule type="expression" dxfId="3958" priority="42">
      <formula>AND(B$9&gt;=14/24,B$9&lt;20/24)</formula>
    </cfRule>
    <cfRule type="expression" dxfId="3957" priority="43">
      <formula>AND(B$9&gt;=8/24,B$9&lt;14/24)</formula>
    </cfRule>
    <cfRule type="expression" dxfId="3956" priority="44">
      <formula>B$9&lt;8/24</formula>
    </cfRule>
  </conditionalFormatting>
  <conditionalFormatting sqref="B23:Y23 B17:R17">
    <cfRule type="expression" dxfId="3955" priority="40">
      <formula>B17&gt;$AG17</formula>
    </cfRule>
  </conditionalFormatting>
  <conditionalFormatting sqref="B78 B87">
    <cfRule type="expression" dxfId="3954" priority="36">
      <formula>B$9&gt;=20/24</formula>
    </cfRule>
    <cfRule type="expression" dxfId="3953" priority="37">
      <formula>AND(B$9&gt;=14/24,B$9&lt;20/24)</formula>
    </cfRule>
    <cfRule type="expression" dxfId="3952" priority="38">
      <formula>AND(B$9&gt;=8/24,B$9&lt;14/24)</formula>
    </cfRule>
    <cfRule type="expression" dxfId="3951" priority="39">
      <formula>B$9&lt;8/24</formula>
    </cfRule>
  </conditionalFormatting>
  <conditionalFormatting sqref="B60 B77 B79 B88">
    <cfRule type="expression" dxfId="3950" priority="32">
      <formula>B$9&gt;=20/24</formula>
    </cfRule>
    <cfRule type="expression" dxfId="3949" priority="33">
      <formula>AND(B$9&gt;=14/24,B$9&lt;20/24)</formula>
    </cfRule>
    <cfRule type="expression" dxfId="3948" priority="34">
      <formula>AND(B$9&gt;=8/24,B$9&lt;14/24)</formula>
    </cfRule>
    <cfRule type="expression" dxfId="3947" priority="35">
      <formula>B$9&lt;8/24</formula>
    </cfRule>
  </conditionalFormatting>
  <conditionalFormatting sqref="B38 B56 B60">
    <cfRule type="expression" dxfId="3946" priority="31">
      <formula>B38&gt;$AG38</formula>
    </cfRule>
  </conditionalFormatting>
  <conditionalFormatting sqref="B72">
    <cfRule type="expression" dxfId="3945" priority="27">
      <formula>B$9&gt;=20/24</formula>
    </cfRule>
    <cfRule type="expression" dxfId="3944" priority="28">
      <formula>AND(B$9&gt;=14/24,B$9&lt;20/24)</formula>
    </cfRule>
    <cfRule type="expression" dxfId="3943" priority="29">
      <formula>AND(B$9&gt;=8/24,B$9&lt;14/24)</formula>
    </cfRule>
    <cfRule type="expression" dxfId="3942" priority="30">
      <formula>B$9&lt;8/24</formula>
    </cfRule>
  </conditionalFormatting>
  <conditionalFormatting sqref="B81:B85">
    <cfRule type="expression" dxfId="3941" priority="23">
      <formula>B$9&gt;=20/24</formula>
    </cfRule>
    <cfRule type="expression" dxfId="3940" priority="24">
      <formula>AND(B$9&gt;=14/24,B$9&lt;20/24)</formula>
    </cfRule>
    <cfRule type="expression" dxfId="3939" priority="25">
      <formula>AND(B$9&gt;=8/24,B$9&lt;14/24)</formula>
    </cfRule>
    <cfRule type="expression" dxfId="3938" priority="26">
      <formula>B$9&lt;8/24</formula>
    </cfRule>
  </conditionalFormatting>
  <conditionalFormatting sqref="B39:B41">
    <cfRule type="expression" dxfId="3937" priority="19">
      <formula>B$9&gt;=20/24</formula>
    </cfRule>
    <cfRule type="expression" dxfId="3936" priority="20">
      <formula>AND(B$9&gt;=14/24,B$9&lt;20/24)</formula>
    </cfRule>
    <cfRule type="expression" dxfId="3935" priority="21">
      <formula>AND(B$9&gt;=8/24,B$9&lt;14/24)</formula>
    </cfRule>
    <cfRule type="expression" dxfId="3934" priority="22">
      <formula>B$9&lt;8/24</formula>
    </cfRule>
  </conditionalFormatting>
  <conditionalFormatting sqref="B39:B41">
    <cfRule type="expression" dxfId="3933" priority="18">
      <formula>B39&gt;$AG39</formula>
    </cfRule>
  </conditionalFormatting>
  <conditionalFormatting sqref="B42">
    <cfRule type="expression" dxfId="3932" priority="14">
      <formula>B$9&gt;=20/24</formula>
    </cfRule>
    <cfRule type="expression" dxfId="3931" priority="15">
      <formula>AND(B$9&gt;=14/24,B$9&lt;20/24)</formula>
    </cfRule>
    <cfRule type="expression" dxfId="3930" priority="16">
      <formula>AND(B$9&gt;=8/24,B$9&lt;14/24)</formula>
    </cfRule>
    <cfRule type="expression" dxfId="3929" priority="17">
      <formula>B$9&lt;8/24</formula>
    </cfRule>
  </conditionalFormatting>
  <conditionalFormatting sqref="B42">
    <cfRule type="expression" dxfId="3928" priority="13">
      <formula>B42&gt;$AG42</formula>
    </cfRule>
  </conditionalFormatting>
  <conditionalFormatting sqref="B97">
    <cfRule type="expression" dxfId="3927" priority="9">
      <formula>B$9&gt;=20/24</formula>
    </cfRule>
    <cfRule type="expression" dxfId="3926" priority="10">
      <formula>AND(B$9&gt;=14/24,B$9&lt;20/24)</formula>
    </cfRule>
    <cfRule type="expression" dxfId="3925" priority="11">
      <formula>AND(B$9&gt;=8/24,B$9&lt;14/24)</formula>
    </cfRule>
    <cfRule type="expression" dxfId="3924" priority="12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7" id="{BD006DD3-9DC8-44FB-8CF3-B92FEC19BD1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8" id="{2687CBE5-9071-4B2C-B986-B6BB3A0F171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9" id="{0E4A65C7-DC22-48E7-8827-6F62322B2B2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0" id="{F143A093-97CC-43A5-8EA1-A054FB91B1B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C80:AF80</xm:sqref>
        </x14:conditionalFormatting>
        <x14:conditionalFormatting xmlns:xm="http://schemas.microsoft.com/office/excel/2006/main">
          <x14:cfRule type="expression" priority="200" id="{92A392B0-DD7C-4137-9F35-B1B8D9F379C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1" id="{5AD1D1EC-33CE-451F-A1A9-FB914519E0D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2" id="{651D438A-79B0-47D2-AE0A-83F6AD8B324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3" id="{2ACD5E80-2E3E-4CE5-881E-5B47CD14EEB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5" id="{39AF7900-E382-4C93-8EE5-5A85E0941A7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442B81D1-A755-4647-8A3D-9AB6371B6E2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79E0A6F8-C7AA-404C-873D-58279EEA0BF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F335DC3C-009F-4B9F-8023-36F9C86D553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</xm:sqref>
        </x14:conditionalFormatting>
        <x14:conditionalFormatting xmlns:xm="http://schemas.microsoft.com/office/excel/2006/main">
          <x14:cfRule type="expression" priority="1" id="{CFF521B2-85F5-4D00-932D-5D61DC574BF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" id="{0E5FB44B-A6DD-4FD6-9755-3224E74B211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" id="{E353BA87-2977-4D33-A32F-C5DBFB6C852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" id="{02019D6A-9D80-4CDC-AAD6-7E54AF999E9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CJ493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L26" sqref="AL26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2079/02/19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4</v>
      </c>
      <c r="C5" s="205">
        <f t="shared" si="0"/>
        <v>4</v>
      </c>
      <c r="D5" s="205">
        <f t="shared" si="0"/>
        <v>4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19</v>
      </c>
      <c r="AA5" s="205">
        <f t="shared" si="0"/>
        <v>15.5</v>
      </c>
      <c r="AB5" s="205">
        <f t="shared" si="0"/>
        <v>8</v>
      </c>
      <c r="AC5" s="205">
        <f t="shared" si="0"/>
        <v>3.3</v>
      </c>
      <c r="AD5" s="205">
        <f t="shared" si="0"/>
        <v>0</v>
      </c>
      <c r="AE5" s="205">
        <f t="shared" si="0"/>
        <v>0</v>
      </c>
      <c r="AF5" s="205">
        <f>B72</f>
        <v>4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1769MW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Load=1571</v>
      </c>
      <c r="B7" s="210">
        <f>B79</f>
        <v>1745.04</v>
      </c>
      <c r="C7" s="210">
        <f t="shared" ref="C7:AF7" si="1">C79</f>
        <v>1665.1399999999999</v>
      </c>
      <c r="D7" s="210">
        <f t="shared" si="1"/>
        <v>1613.2399999999998</v>
      </c>
      <c r="E7" s="210">
        <f t="shared" si="1"/>
        <v>1587.7399999999998</v>
      </c>
      <c r="F7" s="210">
        <f t="shared" si="1"/>
        <v>1580.54</v>
      </c>
      <c r="G7" s="210">
        <f t="shared" si="1"/>
        <v>1571.6399999999999</v>
      </c>
      <c r="H7" s="210">
        <f t="shared" si="1"/>
        <v>1571.84</v>
      </c>
      <c r="I7" s="210">
        <f t="shared" si="1"/>
        <v>1571.1399999999999</v>
      </c>
      <c r="J7" s="210">
        <f t="shared" si="1"/>
        <v>1625.1399999999999</v>
      </c>
      <c r="K7" s="210">
        <f t="shared" si="1"/>
        <v>1657.54</v>
      </c>
      <c r="L7" s="210">
        <f t="shared" si="1"/>
        <v>1711.94</v>
      </c>
      <c r="M7" s="210">
        <f t="shared" si="1"/>
        <v>1763.1399999999999</v>
      </c>
      <c r="N7" s="210">
        <f t="shared" si="1"/>
        <v>1768.54</v>
      </c>
      <c r="O7" s="210">
        <f t="shared" si="1"/>
        <v>1745.74</v>
      </c>
      <c r="P7" s="210">
        <f t="shared" si="1"/>
        <v>1771.44</v>
      </c>
      <c r="Q7" s="210">
        <f t="shared" si="1"/>
        <v>1776.3400000000001</v>
      </c>
      <c r="R7" s="210">
        <f t="shared" si="1"/>
        <v>1776.74</v>
      </c>
      <c r="S7" s="210">
        <f t="shared" si="1"/>
        <v>1778.24</v>
      </c>
      <c r="T7" s="210">
        <f t="shared" si="1"/>
        <v>1778.6399999999999</v>
      </c>
      <c r="U7" s="210">
        <f t="shared" si="1"/>
        <v>1775.6399999999999</v>
      </c>
      <c r="V7" s="210">
        <f t="shared" si="1"/>
        <v>1770.6399999999999</v>
      </c>
      <c r="W7" s="210">
        <f t="shared" si="1"/>
        <v>1755.6399999999999</v>
      </c>
      <c r="X7" s="210">
        <f t="shared" si="1"/>
        <v>1755.6399999999999</v>
      </c>
      <c r="Y7" s="210">
        <f t="shared" si="1"/>
        <v>1816.6399999999999</v>
      </c>
      <c r="Z7" s="210">
        <f t="shared" si="1"/>
        <v>1877.6399999999999</v>
      </c>
      <c r="AA7" s="210">
        <f t="shared" si="1"/>
        <v>1889.54</v>
      </c>
      <c r="AB7" s="210">
        <f t="shared" si="1"/>
        <v>1840.1399999999999</v>
      </c>
      <c r="AC7" s="210">
        <f t="shared" si="1"/>
        <v>1844.54</v>
      </c>
      <c r="AD7" s="210">
        <f t="shared" si="1"/>
        <v>1810.84</v>
      </c>
      <c r="AE7" s="210">
        <f t="shared" si="1"/>
        <v>1778.54</v>
      </c>
      <c r="AF7" s="210">
        <f t="shared" si="1"/>
        <v>1763.54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53.3</v>
      </c>
      <c r="C11" s="221">
        <v>53.3</v>
      </c>
      <c r="D11" s="221">
        <v>53.3</v>
      </c>
      <c r="E11" s="221">
        <v>53.3</v>
      </c>
      <c r="F11" s="221">
        <v>53.3</v>
      </c>
      <c r="G11" s="221">
        <v>53.3</v>
      </c>
      <c r="H11" s="221">
        <v>53.3</v>
      </c>
      <c r="I11" s="221">
        <v>53.3</v>
      </c>
      <c r="J11" s="221">
        <v>53.3</v>
      </c>
      <c r="K11" s="221">
        <v>53.3</v>
      </c>
      <c r="L11" s="221">
        <v>53.3</v>
      </c>
      <c r="M11" s="221">
        <v>53.5</v>
      </c>
      <c r="N11" s="221">
        <v>53.3</v>
      </c>
      <c r="O11" s="221">
        <v>53.3</v>
      </c>
      <c r="P11" s="221">
        <v>53.3</v>
      </c>
      <c r="Q11" s="221">
        <v>53.3</v>
      </c>
      <c r="R11" s="221">
        <v>53.3</v>
      </c>
      <c r="S11" s="224">
        <v>53.2</v>
      </c>
      <c r="T11" s="224">
        <v>53.2</v>
      </c>
      <c r="U11" s="224">
        <v>53.2</v>
      </c>
      <c r="V11" s="224">
        <v>53.2</v>
      </c>
      <c r="W11" s="224">
        <v>53.2</v>
      </c>
      <c r="X11" s="224">
        <v>53.2</v>
      </c>
      <c r="Y11" s="224">
        <v>53.2</v>
      </c>
      <c r="Z11" s="224">
        <v>53.2</v>
      </c>
      <c r="AA11" s="224">
        <v>53.2</v>
      </c>
      <c r="AB11" s="224">
        <v>53.2</v>
      </c>
      <c r="AC11" s="224">
        <v>53.2</v>
      </c>
      <c r="AD11" s="224">
        <v>53.2</v>
      </c>
      <c r="AE11" s="224">
        <v>53.2</v>
      </c>
      <c r="AF11" s="224">
        <v>53.2</v>
      </c>
      <c r="AG11" s="225">
        <v>52.4</v>
      </c>
      <c r="AH11" s="226">
        <f>MAX(B11:AF11)</f>
        <v>53.5</v>
      </c>
      <c r="AI11" s="227">
        <f>MIN(B11:AF11)</f>
        <v>53.2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50.4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50.4</v>
      </c>
      <c r="N12" s="221">
        <v>50.4</v>
      </c>
      <c r="O12" s="221">
        <v>50.4</v>
      </c>
      <c r="P12" s="221">
        <v>50.4</v>
      </c>
      <c r="Q12" s="221">
        <v>50.4</v>
      </c>
      <c r="R12" s="221">
        <v>50.4</v>
      </c>
      <c r="S12" s="221">
        <v>50.4</v>
      </c>
      <c r="T12" s="221">
        <v>50.4</v>
      </c>
      <c r="U12" s="221">
        <v>50.4</v>
      </c>
      <c r="V12" s="221">
        <v>50.4</v>
      </c>
      <c r="W12" s="221">
        <v>50.4</v>
      </c>
      <c r="X12" s="221">
        <v>50.4</v>
      </c>
      <c r="Y12" s="221">
        <v>50.4</v>
      </c>
      <c r="Z12" s="221">
        <v>50.4</v>
      </c>
      <c r="AA12" s="221">
        <v>50.4</v>
      </c>
      <c r="AB12" s="221">
        <v>50.4</v>
      </c>
      <c r="AC12" s="221">
        <v>50.4</v>
      </c>
      <c r="AD12" s="221">
        <v>50.4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50.4</v>
      </c>
      <c r="AI12" s="227">
        <f t="shared" ref="AI12:AI79" si="3">MIN(B12:AF12)</f>
        <v>50.4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46.2</v>
      </c>
      <c r="C13" s="221">
        <v>46.2</v>
      </c>
      <c r="D13" s="221">
        <v>46.2</v>
      </c>
      <c r="E13" s="221">
        <v>46.2</v>
      </c>
      <c r="F13" s="221">
        <v>46.2</v>
      </c>
      <c r="G13" s="221">
        <v>46.2</v>
      </c>
      <c r="H13" s="221">
        <v>46.2</v>
      </c>
      <c r="I13" s="221">
        <v>46.2</v>
      </c>
      <c r="J13" s="221">
        <v>46.2</v>
      </c>
      <c r="K13" s="221">
        <v>46.2</v>
      </c>
      <c r="L13" s="221">
        <v>46.2</v>
      </c>
      <c r="M13" s="221">
        <v>46.1</v>
      </c>
      <c r="N13" s="221">
        <v>46.2</v>
      </c>
      <c r="O13" s="221">
        <v>46.2</v>
      </c>
      <c r="P13" s="221">
        <v>46.2</v>
      </c>
      <c r="Q13" s="221">
        <v>46.2</v>
      </c>
      <c r="R13" s="221">
        <v>46.2</v>
      </c>
      <c r="S13" s="221">
        <v>46.1</v>
      </c>
      <c r="T13" s="221">
        <v>46.1</v>
      </c>
      <c r="U13" s="221">
        <v>46.1</v>
      </c>
      <c r="V13" s="221">
        <v>46.1</v>
      </c>
      <c r="W13" s="221">
        <v>46.1</v>
      </c>
      <c r="X13" s="221">
        <v>46.1</v>
      </c>
      <c r="Y13" s="221">
        <v>46.1</v>
      </c>
      <c r="Z13" s="221">
        <v>46.1</v>
      </c>
      <c r="AA13" s="221">
        <v>46.1</v>
      </c>
      <c r="AB13" s="221">
        <v>46.1</v>
      </c>
      <c r="AC13" s="221">
        <v>46.1</v>
      </c>
      <c r="AD13" s="221">
        <v>46.1</v>
      </c>
      <c r="AE13" s="221">
        <v>46.1</v>
      </c>
      <c r="AF13" s="221">
        <v>46.1</v>
      </c>
      <c r="AG13" s="229">
        <v>45</v>
      </c>
      <c r="AH13" s="226">
        <f t="shared" si="2"/>
        <v>46.2</v>
      </c>
      <c r="AI13" s="227">
        <f t="shared" si="3"/>
        <v>46.1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28</v>
      </c>
      <c r="C14" s="221">
        <v>28</v>
      </c>
      <c r="D14" s="221">
        <v>28</v>
      </c>
      <c r="E14" s="221">
        <v>28</v>
      </c>
      <c r="F14" s="221">
        <v>27</v>
      </c>
      <c r="G14" s="221">
        <v>40</v>
      </c>
      <c r="H14" s="221">
        <v>27</v>
      </c>
      <c r="I14" s="221">
        <v>27</v>
      </c>
      <c r="J14" s="221">
        <v>27</v>
      </c>
      <c r="K14" s="221">
        <v>27</v>
      </c>
      <c r="L14" s="221">
        <v>27</v>
      </c>
      <c r="M14" s="221">
        <v>35</v>
      </c>
      <c r="N14" s="221">
        <v>35</v>
      </c>
      <c r="O14" s="221">
        <v>30</v>
      </c>
      <c r="P14" s="221">
        <v>35</v>
      </c>
      <c r="Q14" s="221">
        <v>41</v>
      </c>
      <c r="R14" s="221">
        <v>41</v>
      </c>
      <c r="S14" s="221">
        <v>41</v>
      </c>
      <c r="T14" s="221">
        <v>41</v>
      </c>
      <c r="U14" s="221">
        <v>38</v>
      </c>
      <c r="V14" s="221">
        <v>35</v>
      </c>
      <c r="W14" s="221">
        <v>35</v>
      </c>
      <c r="X14" s="221">
        <v>35</v>
      </c>
      <c r="Y14" s="221">
        <v>35</v>
      </c>
      <c r="Z14" s="221">
        <v>35</v>
      </c>
      <c r="AA14" s="221">
        <v>35</v>
      </c>
      <c r="AB14" s="221">
        <v>35</v>
      </c>
      <c r="AC14" s="221">
        <v>35</v>
      </c>
      <c r="AD14" s="221">
        <v>35</v>
      </c>
      <c r="AE14" s="221">
        <v>35</v>
      </c>
      <c r="AF14" s="221">
        <v>35</v>
      </c>
      <c r="AG14" s="229">
        <v>42</v>
      </c>
      <c r="AH14" s="226">
        <f t="shared" si="2"/>
        <v>41</v>
      </c>
      <c r="AI14" s="227">
        <f t="shared" si="3"/>
        <v>27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15</v>
      </c>
      <c r="M15" s="221">
        <v>30</v>
      </c>
      <c r="N15" s="221">
        <v>30</v>
      </c>
      <c r="O15" s="221">
        <v>15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15</v>
      </c>
      <c r="X15" s="221">
        <v>15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15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26.2</v>
      </c>
      <c r="C16" s="221">
        <v>26.2</v>
      </c>
      <c r="D16" s="221">
        <v>26.2</v>
      </c>
      <c r="E16" s="221">
        <v>25.2</v>
      </c>
      <c r="F16" s="221">
        <v>25.2</v>
      </c>
      <c r="G16" s="221">
        <v>25.2</v>
      </c>
      <c r="H16" s="221">
        <v>25.2</v>
      </c>
      <c r="I16" s="221">
        <v>25.2</v>
      </c>
      <c r="J16" s="221">
        <v>25.2</v>
      </c>
      <c r="K16" s="221">
        <v>25.2</v>
      </c>
      <c r="L16" s="221">
        <v>25.2</v>
      </c>
      <c r="M16" s="221">
        <v>25.3</v>
      </c>
      <c r="N16" s="221">
        <v>25.3</v>
      </c>
      <c r="O16" s="221">
        <v>25.3</v>
      </c>
      <c r="P16" s="221">
        <v>25.3</v>
      </c>
      <c r="Q16" s="221">
        <v>25.3</v>
      </c>
      <c r="R16" s="221">
        <v>25.3</v>
      </c>
      <c r="S16" s="221">
        <v>25.3</v>
      </c>
      <c r="T16" s="221">
        <v>25.3</v>
      </c>
      <c r="U16" s="221">
        <v>25.3</v>
      </c>
      <c r="V16" s="221">
        <v>25.3</v>
      </c>
      <c r="W16" s="221">
        <v>25.3</v>
      </c>
      <c r="X16" s="221">
        <v>25.3</v>
      </c>
      <c r="Y16" s="221">
        <v>25.3</v>
      </c>
      <c r="Z16" s="221">
        <v>25.3</v>
      </c>
      <c r="AA16" s="221">
        <v>26.2</v>
      </c>
      <c r="AB16" s="221">
        <v>26.2</v>
      </c>
      <c r="AC16" s="221">
        <v>26.2</v>
      </c>
      <c r="AD16" s="221">
        <v>26.2</v>
      </c>
      <c r="AE16" s="221">
        <v>26.2</v>
      </c>
      <c r="AF16" s="221">
        <v>26.2</v>
      </c>
      <c r="AG16" s="229">
        <v>25</v>
      </c>
      <c r="AH16" s="226">
        <f t="shared" si="2"/>
        <v>26.2</v>
      </c>
      <c r="AI16" s="227">
        <f t="shared" si="3"/>
        <v>25.2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22</v>
      </c>
      <c r="C17" s="221">
        <v>22</v>
      </c>
      <c r="D17" s="221">
        <v>22</v>
      </c>
      <c r="E17" s="221">
        <v>22</v>
      </c>
      <c r="F17" s="221">
        <v>22</v>
      </c>
      <c r="G17" s="221">
        <v>22</v>
      </c>
      <c r="H17" s="221">
        <v>22</v>
      </c>
      <c r="I17" s="221">
        <v>22</v>
      </c>
      <c r="J17" s="221">
        <v>22</v>
      </c>
      <c r="K17" s="221">
        <v>22</v>
      </c>
      <c r="L17" s="221">
        <v>22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22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24</v>
      </c>
      <c r="F18" s="221">
        <v>24</v>
      </c>
      <c r="G18" s="221">
        <v>24</v>
      </c>
      <c r="H18" s="221">
        <v>24</v>
      </c>
      <c r="I18" s="221">
        <v>24</v>
      </c>
      <c r="J18" s="221">
        <v>24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24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24</v>
      </c>
      <c r="C19" s="221">
        <v>24</v>
      </c>
      <c r="D19" s="221">
        <v>24</v>
      </c>
      <c r="E19" s="221">
        <v>24</v>
      </c>
      <c r="F19" s="221">
        <v>24</v>
      </c>
      <c r="G19" s="221">
        <v>24</v>
      </c>
      <c r="H19" s="221">
        <v>24</v>
      </c>
      <c r="I19" s="221">
        <v>24</v>
      </c>
      <c r="J19" s="221">
        <v>24</v>
      </c>
      <c r="K19" s="221">
        <v>24</v>
      </c>
      <c r="L19" s="221">
        <v>24</v>
      </c>
      <c r="M19" s="221">
        <v>33.299999999999997</v>
      </c>
      <c r="N19" s="221">
        <v>24</v>
      </c>
      <c r="O19" s="221">
        <v>24</v>
      </c>
      <c r="P19" s="221">
        <v>24</v>
      </c>
      <c r="Q19" s="221">
        <v>24</v>
      </c>
      <c r="R19" s="221">
        <v>24</v>
      </c>
      <c r="S19" s="221">
        <v>24</v>
      </c>
      <c r="T19" s="221">
        <v>24</v>
      </c>
      <c r="U19" s="221">
        <v>24</v>
      </c>
      <c r="V19" s="221">
        <v>24</v>
      </c>
      <c r="W19" s="221">
        <v>24</v>
      </c>
      <c r="X19" s="221">
        <v>24</v>
      </c>
      <c r="Y19" s="221">
        <v>24</v>
      </c>
      <c r="Z19" s="221">
        <v>24</v>
      </c>
      <c r="AA19" s="221">
        <v>24</v>
      </c>
      <c r="AB19" s="221">
        <v>24</v>
      </c>
      <c r="AC19" s="221">
        <v>24</v>
      </c>
      <c r="AD19" s="221">
        <v>24</v>
      </c>
      <c r="AE19" s="221">
        <v>24</v>
      </c>
      <c r="AF19" s="221">
        <v>24</v>
      </c>
      <c r="AG19" s="229">
        <v>24.2</v>
      </c>
      <c r="AH19" s="226">
        <f t="shared" si="2"/>
        <v>33.299999999999997</v>
      </c>
      <c r="AI19" s="227">
        <f t="shared" si="3"/>
        <v>24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23.3</v>
      </c>
      <c r="C20" s="221">
        <v>23.3</v>
      </c>
      <c r="D20" s="221">
        <v>23.3</v>
      </c>
      <c r="E20" s="221">
        <v>23.3</v>
      </c>
      <c r="F20" s="221">
        <v>23.3</v>
      </c>
      <c r="G20" s="221">
        <v>23.3</v>
      </c>
      <c r="H20" s="221">
        <v>23.3</v>
      </c>
      <c r="I20" s="221">
        <v>23.3</v>
      </c>
      <c r="J20" s="221">
        <v>23.3</v>
      </c>
      <c r="K20" s="221">
        <v>23.3</v>
      </c>
      <c r="L20" s="221">
        <v>23.3</v>
      </c>
      <c r="M20" s="221">
        <v>23.3</v>
      </c>
      <c r="N20" s="221">
        <v>23.5</v>
      </c>
      <c r="O20" s="221">
        <v>23.5</v>
      </c>
      <c r="P20" s="221">
        <v>23.5</v>
      </c>
      <c r="Q20" s="221">
        <v>23.5</v>
      </c>
      <c r="R20" s="221">
        <v>23.5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23.5</v>
      </c>
      <c r="AE20" s="221">
        <v>23.5</v>
      </c>
      <c r="AF20" s="221">
        <v>23.5</v>
      </c>
      <c r="AG20" s="229">
        <v>23.5</v>
      </c>
      <c r="AH20" s="226">
        <f t="shared" si="2"/>
        <v>23.5</v>
      </c>
      <c r="AI20" s="227">
        <f t="shared" si="3"/>
        <v>23.3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22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5</v>
      </c>
      <c r="G25" s="221">
        <v>10</v>
      </c>
      <c r="H25" s="221">
        <v>5</v>
      </c>
      <c r="I25" s="221">
        <v>4</v>
      </c>
      <c r="J25" s="221">
        <v>4</v>
      </c>
      <c r="K25" s="221">
        <v>10</v>
      </c>
      <c r="L25" s="221">
        <v>15</v>
      </c>
      <c r="M25" s="221">
        <v>15</v>
      </c>
      <c r="N25" s="221">
        <v>15</v>
      </c>
      <c r="O25" s="221">
        <v>10</v>
      </c>
      <c r="P25" s="221">
        <v>15</v>
      </c>
      <c r="Q25" s="221">
        <v>15</v>
      </c>
      <c r="R25" s="221">
        <v>15</v>
      </c>
      <c r="S25" s="221">
        <v>15</v>
      </c>
      <c r="T25" s="221">
        <v>15</v>
      </c>
      <c r="U25" s="221">
        <v>15</v>
      </c>
      <c r="V25" s="221">
        <v>13</v>
      </c>
      <c r="W25" s="221">
        <v>13</v>
      </c>
      <c r="X25" s="221">
        <v>13</v>
      </c>
      <c r="Y25" s="221">
        <v>20</v>
      </c>
      <c r="Z25" s="221">
        <v>20</v>
      </c>
      <c r="AA25" s="221">
        <v>18</v>
      </c>
      <c r="AB25" s="221">
        <v>18</v>
      </c>
      <c r="AC25" s="221">
        <v>18</v>
      </c>
      <c r="AD25" s="221">
        <v>15</v>
      </c>
      <c r="AE25" s="221">
        <v>10</v>
      </c>
      <c r="AF25" s="221">
        <v>10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0</v>
      </c>
      <c r="C27" s="221">
        <v>0</v>
      </c>
      <c r="D27" s="221">
        <v>0</v>
      </c>
      <c r="E27" s="221">
        <v>0</v>
      </c>
      <c r="F27" s="221">
        <v>0</v>
      </c>
      <c r="G27" s="221">
        <v>0</v>
      </c>
      <c r="H27" s="221">
        <v>0</v>
      </c>
      <c r="I27" s="221">
        <v>0</v>
      </c>
      <c r="J27" s="221">
        <v>0</v>
      </c>
      <c r="K27" s="221">
        <v>0</v>
      </c>
      <c r="L27" s="221">
        <v>0</v>
      </c>
      <c r="M27" s="221">
        <v>0</v>
      </c>
      <c r="N27" s="221">
        <v>0</v>
      </c>
      <c r="O27" s="221">
        <v>0</v>
      </c>
      <c r="P27" s="221">
        <v>0</v>
      </c>
      <c r="Q27" s="221">
        <v>0</v>
      </c>
      <c r="R27" s="221">
        <v>0</v>
      </c>
      <c r="S27" s="221">
        <v>0</v>
      </c>
      <c r="T27" s="221">
        <v>0</v>
      </c>
      <c r="U27" s="221">
        <v>0</v>
      </c>
      <c r="V27" s="221">
        <v>0</v>
      </c>
      <c r="W27" s="221">
        <v>0</v>
      </c>
      <c r="X27" s="221">
        <v>0</v>
      </c>
      <c r="Y27" s="221">
        <v>0</v>
      </c>
      <c r="Z27" s="221">
        <v>0</v>
      </c>
      <c r="AA27" s="221">
        <v>0</v>
      </c>
      <c r="AB27" s="221">
        <v>0</v>
      </c>
      <c r="AC27" s="221">
        <v>0</v>
      </c>
      <c r="AD27" s="221">
        <v>0</v>
      </c>
      <c r="AE27" s="221">
        <v>0</v>
      </c>
      <c r="AF27" s="221">
        <v>0</v>
      </c>
      <c r="AG27" s="229">
        <v>13.6</v>
      </c>
      <c r="AH27" s="226">
        <f t="shared" si="2"/>
        <v>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4</v>
      </c>
      <c r="C29" s="221">
        <v>4</v>
      </c>
      <c r="D29" s="221">
        <v>4</v>
      </c>
      <c r="E29" s="221">
        <v>4</v>
      </c>
      <c r="F29" s="221">
        <v>4</v>
      </c>
      <c r="G29" s="221">
        <v>4</v>
      </c>
      <c r="H29" s="221">
        <v>4</v>
      </c>
      <c r="I29" s="221">
        <v>4</v>
      </c>
      <c r="J29" s="221">
        <v>4</v>
      </c>
      <c r="K29" s="221">
        <v>4</v>
      </c>
      <c r="L29" s="221">
        <v>4</v>
      </c>
      <c r="M29" s="221">
        <v>4</v>
      </c>
      <c r="N29" s="221">
        <v>0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10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10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v>177.7</v>
      </c>
      <c r="C37" s="239">
        <v>177.7</v>
      </c>
      <c r="D37" s="239">
        <v>177.7</v>
      </c>
      <c r="E37" s="237">
        <f>75.4+100.1</f>
        <v>175.5</v>
      </c>
      <c r="F37" s="237">
        <f>62.2+97</f>
        <v>159.19999999999999</v>
      </c>
      <c r="G37" s="237">
        <f>69.6+99.9</f>
        <v>169.5</v>
      </c>
      <c r="H37" s="237">
        <f>69.5+99.5</f>
        <v>169</v>
      </c>
      <c r="I37" s="237">
        <f>69.5+99.5</f>
        <v>169</v>
      </c>
      <c r="J37" s="237">
        <f>70.9+98.9</f>
        <v>169.8</v>
      </c>
      <c r="K37" s="237">
        <f>70.8+99.3</f>
        <v>170.1</v>
      </c>
      <c r="L37" s="237">
        <f>70.4+99.7</f>
        <v>170.10000000000002</v>
      </c>
      <c r="M37" s="237">
        <f>170.9</f>
        <v>170.9</v>
      </c>
      <c r="N37" s="237">
        <f>170.2</f>
        <v>170.2</v>
      </c>
      <c r="O37" s="237">
        <f>98.3+74.5</f>
        <v>172.8</v>
      </c>
      <c r="P37" s="237">
        <f>173.6</f>
        <v>173.6</v>
      </c>
      <c r="Q37" s="237">
        <f>85.2+77.5</f>
        <v>162.69999999999999</v>
      </c>
      <c r="R37" s="237">
        <f>95.8+77.2</f>
        <v>173</v>
      </c>
      <c r="S37" s="239">
        <v>173</v>
      </c>
      <c r="T37" s="239">
        <v>173</v>
      </c>
      <c r="U37" s="239">
        <v>173</v>
      </c>
      <c r="V37" s="239">
        <v>173</v>
      </c>
      <c r="W37" s="239">
        <v>173</v>
      </c>
      <c r="X37" s="239">
        <v>173</v>
      </c>
      <c r="Y37" s="239">
        <v>173</v>
      </c>
      <c r="Z37" s="239">
        <v>173</v>
      </c>
      <c r="AA37" s="239">
        <v>173</v>
      </c>
      <c r="AB37" s="239">
        <v>173</v>
      </c>
      <c r="AC37" s="239">
        <v>173</v>
      </c>
      <c r="AD37" s="239">
        <v>173</v>
      </c>
      <c r="AE37" s="239">
        <v>173</v>
      </c>
      <c r="AF37" s="239">
        <v>176</v>
      </c>
      <c r="AG37" s="235">
        <v>240</v>
      </c>
      <c r="AH37" s="226">
        <f t="shared" si="2"/>
        <v>177.7</v>
      </c>
      <c r="AI37" s="227">
        <f t="shared" si="3"/>
        <v>159.19999999999999</v>
      </c>
      <c r="AK37" s="228"/>
    </row>
    <row r="38" spans="1:88" ht="15.75" thickBot="1" x14ac:dyDescent="0.3">
      <c r="A38" s="240" t="s">
        <v>46</v>
      </c>
      <c r="B38" s="241">
        <v>773.3</v>
      </c>
      <c r="C38" s="241">
        <f t="shared" ref="C38:AG38" si="4">SUM(C11:C36)</f>
        <v>747.09999999999991</v>
      </c>
      <c r="D38" s="241">
        <f t="shared" si="4"/>
        <v>747.09999999999991</v>
      </c>
      <c r="E38" s="241">
        <f t="shared" si="4"/>
        <v>745.09999999999991</v>
      </c>
      <c r="F38" s="241">
        <f t="shared" si="4"/>
        <v>749.09999999999991</v>
      </c>
      <c r="G38" s="241">
        <f t="shared" si="4"/>
        <v>767.09999999999991</v>
      </c>
      <c r="H38" s="241">
        <f t="shared" si="4"/>
        <v>749.09999999999991</v>
      </c>
      <c r="I38" s="241">
        <f t="shared" si="4"/>
        <v>748.09999999999991</v>
      </c>
      <c r="J38" s="241">
        <f t="shared" si="4"/>
        <v>748.09999999999991</v>
      </c>
      <c r="K38" s="241">
        <f t="shared" si="4"/>
        <v>755.09999999999991</v>
      </c>
      <c r="L38" s="241">
        <f t="shared" si="4"/>
        <v>777.09999999999991</v>
      </c>
      <c r="M38" s="241">
        <f t="shared" si="4"/>
        <v>812.6</v>
      </c>
      <c r="N38" s="241">
        <f t="shared" si="4"/>
        <v>799.4</v>
      </c>
      <c r="O38" s="241">
        <f t="shared" si="4"/>
        <v>786.4</v>
      </c>
      <c r="P38" s="241">
        <f t="shared" si="4"/>
        <v>811.4</v>
      </c>
      <c r="Q38" s="241">
        <f t="shared" si="4"/>
        <v>817.4</v>
      </c>
      <c r="R38" s="241">
        <f t="shared" si="4"/>
        <v>817.4</v>
      </c>
      <c r="S38" s="241">
        <f t="shared" si="4"/>
        <v>817.2</v>
      </c>
      <c r="T38" s="241">
        <f t="shared" si="4"/>
        <v>817.2</v>
      </c>
      <c r="U38" s="241">
        <f t="shared" si="4"/>
        <v>814.2</v>
      </c>
      <c r="V38" s="241">
        <f t="shared" si="4"/>
        <v>809.2</v>
      </c>
      <c r="W38" s="241">
        <f t="shared" si="4"/>
        <v>794.2</v>
      </c>
      <c r="X38" s="241">
        <f t="shared" si="4"/>
        <v>794.2</v>
      </c>
      <c r="Y38" s="241">
        <f t="shared" si="4"/>
        <v>816.2</v>
      </c>
      <c r="Z38" s="241">
        <f t="shared" si="4"/>
        <v>816.2</v>
      </c>
      <c r="AA38" s="241">
        <f t="shared" si="4"/>
        <v>815.09999999999991</v>
      </c>
      <c r="AB38" s="241">
        <f t="shared" si="4"/>
        <v>815.09999999999991</v>
      </c>
      <c r="AC38" s="241">
        <f t="shared" si="4"/>
        <v>815.09999999999991</v>
      </c>
      <c r="AD38" s="241">
        <f t="shared" si="4"/>
        <v>812.09999999999991</v>
      </c>
      <c r="AE38" s="241">
        <f t="shared" si="4"/>
        <v>807.09999999999991</v>
      </c>
      <c r="AF38" s="241">
        <f t="shared" si="4"/>
        <v>792.09999999999991</v>
      </c>
      <c r="AG38" s="242">
        <f t="shared" si="4"/>
        <v>665.78</v>
      </c>
      <c r="AH38" s="226">
        <f t="shared" si="2"/>
        <v>817.4</v>
      </c>
      <c r="AI38" s="227">
        <f t="shared" si="3"/>
        <v>745.09999999999991</v>
      </c>
      <c r="AK38" s="228"/>
    </row>
    <row r="39" spans="1:88" x14ac:dyDescent="0.25">
      <c r="A39" s="243" t="s">
        <v>47</v>
      </c>
      <c r="B39" s="221">
        <v>440</v>
      </c>
      <c r="C39" s="221">
        <v>440</v>
      </c>
      <c r="D39" s="221">
        <v>440</v>
      </c>
      <c r="E39" s="221">
        <v>440</v>
      </c>
      <c r="F39" s="221">
        <v>440</v>
      </c>
      <c r="G39" s="221">
        <v>440</v>
      </c>
      <c r="H39" s="221">
        <v>440</v>
      </c>
      <c r="I39" s="221">
        <v>440</v>
      </c>
      <c r="J39" s="221">
        <v>440</v>
      </c>
      <c r="K39" s="221">
        <v>440</v>
      </c>
      <c r="L39" s="221">
        <v>440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440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v>538</v>
      </c>
      <c r="C42" s="241">
        <f t="shared" ref="C42:AG42" si="5">SUM(C39:C41)</f>
        <v>522</v>
      </c>
      <c r="D42" s="241">
        <f t="shared" si="5"/>
        <v>522</v>
      </c>
      <c r="E42" s="241">
        <f t="shared" si="5"/>
        <v>522</v>
      </c>
      <c r="F42" s="241">
        <f t="shared" si="5"/>
        <v>522</v>
      </c>
      <c r="G42" s="241">
        <f t="shared" si="5"/>
        <v>522</v>
      </c>
      <c r="H42" s="241">
        <f t="shared" si="5"/>
        <v>522</v>
      </c>
      <c r="I42" s="241">
        <f t="shared" si="5"/>
        <v>522</v>
      </c>
      <c r="J42" s="241">
        <f t="shared" si="5"/>
        <v>522</v>
      </c>
      <c r="K42" s="241">
        <f t="shared" si="5"/>
        <v>522</v>
      </c>
      <c r="L42" s="241">
        <f t="shared" si="5"/>
        <v>522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522</v>
      </c>
      <c r="AK42" s="228"/>
    </row>
    <row r="43" spans="1:88" x14ac:dyDescent="0.25">
      <c r="A43" s="220" t="s">
        <v>51</v>
      </c>
      <c r="B43" s="221">
        <v>133</v>
      </c>
      <c r="C43" s="221">
        <v>133</v>
      </c>
      <c r="D43" s="221">
        <v>92</v>
      </c>
      <c r="E43" s="221">
        <v>83.7</v>
      </c>
      <c r="F43" s="221">
        <v>70.599999999999994</v>
      </c>
      <c r="G43" s="221">
        <v>70.900000000000006</v>
      </c>
      <c r="H43" s="221">
        <v>70.7</v>
      </c>
      <c r="I43" s="221">
        <v>70.900000000000006</v>
      </c>
      <c r="J43" s="221">
        <v>71.099999999999994</v>
      </c>
      <c r="K43" s="221">
        <v>94.5</v>
      </c>
      <c r="L43" s="221">
        <v>138.9</v>
      </c>
      <c r="M43" s="221">
        <v>138.4</v>
      </c>
      <c r="N43" s="221">
        <v>137.6</v>
      </c>
      <c r="O43" s="221">
        <v>137.6</v>
      </c>
      <c r="P43" s="221">
        <v>138</v>
      </c>
      <c r="Q43" s="221">
        <v>138.69999999999999</v>
      </c>
      <c r="R43" s="221">
        <v>138.9</v>
      </c>
      <c r="S43" s="221">
        <v>140.1</v>
      </c>
      <c r="T43" s="221">
        <v>140.1</v>
      </c>
      <c r="U43" s="221">
        <v>140.1</v>
      </c>
      <c r="V43" s="221">
        <v>140.1</v>
      </c>
      <c r="W43" s="221">
        <v>140.1</v>
      </c>
      <c r="X43" s="221">
        <v>140.1</v>
      </c>
      <c r="Y43" s="221">
        <v>140.1</v>
      </c>
      <c r="Z43" s="221">
        <v>140.1</v>
      </c>
      <c r="AA43" s="221">
        <v>140.1</v>
      </c>
      <c r="AB43" s="221">
        <v>140.1</v>
      </c>
      <c r="AC43" s="221">
        <v>140.1</v>
      </c>
      <c r="AD43" s="221">
        <v>140.1</v>
      </c>
      <c r="AE43" s="221">
        <v>140.1</v>
      </c>
      <c r="AF43" s="221">
        <v>140.1</v>
      </c>
      <c r="AG43" s="230">
        <v>144</v>
      </c>
      <c r="AH43" s="226">
        <f t="shared" si="2"/>
        <v>140.1</v>
      </c>
      <c r="AI43" s="227">
        <f t="shared" si="3"/>
        <v>70.599999999999994</v>
      </c>
      <c r="AK43" s="228"/>
    </row>
    <row r="44" spans="1:88" x14ac:dyDescent="0.25">
      <c r="A44" s="234" t="s">
        <v>52</v>
      </c>
      <c r="B44" s="245">
        <v>65</v>
      </c>
      <c r="C44" s="245">
        <v>65</v>
      </c>
      <c r="D44" s="245">
        <v>65</v>
      </c>
      <c r="E44" s="245">
        <v>49.4</v>
      </c>
      <c r="F44" s="245">
        <v>49.3</v>
      </c>
      <c r="G44" s="245">
        <v>50.1</v>
      </c>
      <c r="H44" s="245">
        <v>49.8</v>
      </c>
      <c r="I44" s="245">
        <v>49.6</v>
      </c>
      <c r="J44" s="245">
        <v>66.599999999999994</v>
      </c>
      <c r="K44" s="245">
        <v>69.400000000000006</v>
      </c>
      <c r="L44" s="245">
        <v>70.400000000000006</v>
      </c>
      <c r="M44" s="221">
        <v>70.7</v>
      </c>
      <c r="N44" s="221">
        <v>70.900000000000006</v>
      </c>
      <c r="O44" s="221">
        <v>70.8</v>
      </c>
      <c r="P44" s="221">
        <v>71.099999999999994</v>
      </c>
      <c r="Q44" s="221">
        <v>69.099999999999994</v>
      </c>
      <c r="R44" s="221">
        <v>71</v>
      </c>
      <c r="S44" s="245">
        <v>71.400000000000006</v>
      </c>
      <c r="T44" s="245">
        <v>71.8</v>
      </c>
      <c r="U44" s="245">
        <v>71.8</v>
      </c>
      <c r="V44" s="245">
        <v>71.8</v>
      </c>
      <c r="W44" s="245">
        <v>71.8</v>
      </c>
      <c r="X44" s="245">
        <v>71.8</v>
      </c>
      <c r="Y44" s="245">
        <v>71.8</v>
      </c>
      <c r="Z44" s="245">
        <v>71.8</v>
      </c>
      <c r="AA44" s="245">
        <v>71.8</v>
      </c>
      <c r="AB44" s="245">
        <v>71.8</v>
      </c>
      <c r="AC44" s="245">
        <v>71.8</v>
      </c>
      <c r="AD44" s="245">
        <v>71.8</v>
      </c>
      <c r="AE44" s="245">
        <v>71.8</v>
      </c>
      <c r="AF44" s="245">
        <v>71.8</v>
      </c>
      <c r="AG44" s="235">
        <v>70</v>
      </c>
      <c r="AH44" s="226">
        <f t="shared" si="2"/>
        <v>71.8</v>
      </c>
      <c r="AI44" s="227">
        <f t="shared" si="3"/>
        <v>49.3</v>
      </c>
      <c r="AK44" s="228"/>
    </row>
    <row r="45" spans="1:88" x14ac:dyDescent="0.25">
      <c r="A45" s="234" t="s">
        <v>53</v>
      </c>
      <c r="B45" s="245">
        <v>57.9</v>
      </c>
      <c r="C45" s="245">
        <v>57.9</v>
      </c>
      <c r="D45" s="245">
        <v>57.9</v>
      </c>
      <c r="E45" s="245">
        <v>57.8</v>
      </c>
      <c r="F45" s="245">
        <v>63.1</v>
      </c>
      <c r="G45" s="245">
        <v>63.6</v>
      </c>
      <c r="H45" s="245">
        <v>46</v>
      </c>
      <c r="I45" s="245">
        <v>45.5</v>
      </c>
      <c r="J45" s="245">
        <v>63.4</v>
      </c>
      <c r="K45" s="245">
        <v>62.6</v>
      </c>
      <c r="L45" s="245">
        <v>63.1</v>
      </c>
      <c r="M45" s="221">
        <v>63.2</v>
      </c>
      <c r="N45" s="221">
        <v>63.4</v>
      </c>
      <c r="O45" s="221">
        <v>62.8</v>
      </c>
      <c r="P45" s="221">
        <v>63.2</v>
      </c>
      <c r="Q45" s="221">
        <v>63.3</v>
      </c>
      <c r="R45" s="221">
        <v>63.2</v>
      </c>
      <c r="S45" s="245">
        <v>63.3</v>
      </c>
      <c r="T45" s="245">
        <v>63.3</v>
      </c>
      <c r="U45" s="245">
        <v>63.3</v>
      </c>
      <c r="V45" s="245">
        <v>63.3</v>
      </c>
      <c r="W45" s="245">
        <v>63.3</v>
      </c>
      <c r="X45" s="245">
        <v>63.3</v>
      </c>
      <c r="Y45" s="245">
        <v>63.3</v>
      </c>
      <c r="Z45" s="245">
        <v>63.3</v>
      </c>
      <c r="AA45" s="245">
        <v>63.3</v>
      </c>
      <c r="AB45" s="245">
        <v>63.3</v>
      </c>
      <c r="AC45" s="245">
        <v>63.3</v>
      </c>
      <c r="AD45" s="245">
        <v>63.3</v>
      </c>
      <c r="AE45" s="245">
        <v>63.3</v>
      </c>
      <c r="AF45" s="245">
        <v>63.3</v>
      </c>
      <c r="AG45" s="235">
        <v>69</v>
      </c>
      <c r="AH45" s="226">
        <f t="shared" si="2"/>
        <v>63.6</v>
      </c>
      <c r="AI45" s="227">
        <f t="shared" si="3"/>
        <v>45.5</v>
      </c>
      <c r="AK45" s="228"/>
    </row>
    <row r="46" spans="1:88" x14ac:dyDescent="0.25">
      <c r="A46" s="234" t="s">
        <v>54</v>
      </c>
      <c r="B46" s="237">
        <v>50.9</v>
      </c>
      <c r="C46" s="237">
        <v>50.9</v>
      </c>
      <c r="D46" s="237">
        <v>40</v>
      </c>
      <c r="E46" s="237">
        <v>40.6</v>
      </c>
      <c r="F46" s="237">
        <v>41.3</v>
      </c>
      <c r="G46" s="237">
        <v>41.3</v>
      </c>
      <c r="H46" s="237">
        <v>41.3</v>
      </c>
      <c r="I46" s="237">
        <v>41.1</v>
      </c>
      <c r="J46" s="237">
        <v>60</v>
      </c>
      <c r="K46" s="237">
        <v>60</v>
      </c>
      <c r="L46" s="237">
        <v>60</v>
      </c>
      <c r="M46" s="221">
        <v>60</v>
      </c>
      <c r="N46" s="221">
        <v>60</v>
      </c>
      <c r="O46" s="221">
        <v>60</v>
      </c>
      <c r="P46" s="221">
        <v>60.2</v>
      </c>
      <c r="Q46" s="221">
        <v>60.2</v>
      </c>
      <c r="R46" s="221">
        <v>60.4</v>
      </c>
      <c r="S46" s="221">
        <v>60.4</v>
      </c>
      <c r="T46" s="221">
        <v>60.4</v>
      </c>
      <c r="U46" s="221">
        <v>60.4</v>
      </c>
      <c r="V46" s="221">
        <v>60.4</v>
      </c>
      <c r="W46" s="221">
        <v>60.4</v>
      </c>
      <c r="X46" s="221">
        <v>60.4</v>
      </c>
      <c r="Y46" s="221">
        <v>60.4</v>
      </c>
      <c r="Z46" s="221">
        <v>60.4</v>
      </c>
      <c r="AA46" s="221">
        <v>60.4</v>
      </c>
      <c r="AB46" s="221">
        <v>60.4</v>
      </c>
      <c r="AC46" s="221">
        <v>60.4</v>
      </c>
      <c r="AD46" s="221">
        <v>60.4</v>
      </c>
      <c r="AE46" s="221">
        <v>60.4</v>
      </c>
      <c r="AF46" s="221">
        <v>60.4</v>
      </c>
      <c r="AG46" s="235">
        <v>60</v>
      </c>
      <c r="AH46" s="226">
        <f t="shared" si="2"/>
        <v>60.4</v>
      </c>
      <c r="AI46" s="227">
        <f t="shared" si="3"/>
        <v>40</v>
      </c>
      <c r="AK46" s="228"/>
    </row>
    <row r="47" spans="1:88" x14ac:dyDescent="0.25">
      <c r="A47" s="234" t="s">
        <v>55</v>
      </c>
      <c r="B47" s="237">
        <v>28.6</v>
      </c>
      <c r="C47" s="237">
        <v>28.6</v>
      </c>
      <c r="D47" s="237">
        <v>28.6</v>
      </c>
      <c r="E47" s="237">
        <v>28.5</v>
      </c>
      <c r="F47" s="237">
        <v>28.5</v>
      </c>
      <c r="G47" s="237">
        <v>0</v>
      </c>
      <c r="H47" s="237">
        <v>28.3</v>
      </c>
      <c r="I47" s="237">
        <v>28.3</v>
      </c>
      <c r="J47" s="237">
        <v>28.3</v>
      </c>
      <c r="K47" s="237">
        <v>28.3</v>
      </c>
      <c r="L47" s="237">
        <v>14.8</v>
      </c>
      <c r="M47" s="221">
        <v>14.9</v>
      </c>
      <c r="N47" s="221">
        <v>28.9</v>
      </c>
      <c r="O47" s="221">
        <v>28.9</v>
      </c>
      <c r="P47" s="221">
        <v>28.8</v>
      </c>
      <c r="Q47" s="221">
        <v>28.9</v>
      </c>
      <c r="R47" s="221">
        <v>28.9</v>
      </c>
      <c r="S47" s="221">
        <v>28.9</v>
      </c>
      <c r="T47" s="221">
        <v>28.9</v>
      </c>
      <c r="U47" s="221">
        <v>28.9</v>
      </c>
      <c r="V47" s="221">
        <v>28.9</v>
      </c>
      <c r="W47" s="221">
        <v>28.9</v>
      </c>
      <c r="X47" s="221">
        <v>28.9</v>
      </c>
      <c r="Y47" s="221">
        <v>28.9</v>
      </c>
      <c r="Z47" s="221">
        <v>28.9</v>
      </c>
      <c r="AA47" s="221">
        <v>28.9</v>
      </c>
      <c r="AB47" s="221">
        <v>28.9</v>
      </c>
      <c r="AC47" s="221">
        <v>28.9</v>
      </c>
      <c r="AD47" s="221">
        <v>28.9</v>
      </c>
      <c r="AE47" s="221">
        <v>28.9</v>
      </c>
      <c r="AF47" s="221">
        <v>28.9</v>
      </c>
      <c r="AG47" s="235">
        <v>30</v>
      </c>
      <c r="AH47" s="226">
        <f t="shared" si="2"/>
        <v>28.9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0</v>
      </c>
      <c r="N48" s="221">
        <v>4</v>
      </c>
      <c r="O48" s="221">
        <v>5</v>
      </c>
      <c r="P48" s="221">
        <v>7</v>
      </c>
      <c r="Q48" s="221">
        <v>7</v>
      </c>
      <c r="R48" s="221">
        <v>7</v>
      </c>
      <c r="S48" s="221">
        <v>7</v>
      </c>
      <c r="T48" s="221">
        <v>7</v>
      </c>
      <c r="U48" s="221">
        <v>7</v>
      </c>
      <c r="V48" s="221">
        <v>7</v>
      </c>
      <c r="W48" s="221">
        <v>7</v>
      </c>
      <c r="X48" s="221">
        <v>7</v>
      </c>
      <c r="Y48" s="221">
        <v>7</v>
      </c>
      <c r="Z48" s="221">
        <v>7</v>
      </c>
      <c r="AA48" s="221">
        <v>7</v>
      </c>
      <c r="AB48" s="221">
        <v>7</v>
      </c>
      <c r="AC48" s="221">
        <v>7</v>
      </c>
      <c r="AD48" s="221">
        <v>7</v>
      </c>
      <c r="AE48" s="221">
        <v>7</v>
      </c>
      <c r="AF48" s="221">
        <v>7</v>
      </c>
      <c r="AG48" s="235">
        <v>25</v>
      </c>
      <c r="AH48" s="226">
        <f t="shared" si="2"/>
        <v>7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</v>
      </c>
      <c r="C49" s="245">
        <v>17</v>
      </c>
      <c r="D49" s="245">
        <v>17</v>
      </c>
      <c r="E49" s="245">
        <v>17</v>
      </c>
      <c r="F49" s="245">
        <v>17</v>
      </c>
      <c r="G49" s="245">
        <v>17</v>
      </c>
      <c r="H49" s="245">
        <v>17</v>
      </c>
      <c r="I49" s="245">
        <v>17</v>
      </c>
      <c r="J49" s="245">
        <v>17</v>
      </c>
      <c r="K49" s="245">
        <v>17</v>
      </c>
      <c r="L49" s="245">
        <v>17</v>
      </c>
      <c r="M49" s="245">
        <v>17</v>
      </c>
      <c r="N49" s="245">
        <v>17</v>
      </c>
      <c r="O49" s="221">
        <v>16.8</v>
      </c>
      <c r="P49" s="221">
        <v>16.8</v>
      </c>
      <c r="Q49" s="221">
        <v>16.8</v>
      </c>
      <c r="R49" s="221">
        <v>15.2</v>
      </c>
      <c r="S49" s="221">
        <v>15.2</v>
      </c>
      <c r="T49" s="221">
        <v>15.2</v>
      </c>
      <c r="U49" s="221">
        <v>15.2</v>
      </c>
      <c r="V49" s="221">
        <v>15.2</v>
      </c>
      <c r="W49" s="221">
        <v>15.2</v>
      </c>
      <c r="X49" s="221">
        <v>15.2</v>
      </c>
      <c r="Y49" s="221">
        <v>15.2</v>
      </c>
      <c r="Z49" s="221">
        <v>15.2</v>
      </c>
      <c r="AA49" s="221">
        <v>15.2</v>
      </c>
      <c r="AB49" s="221">
        <v>15.2</v>
      </c>
      <c r="AC49" s="221">
        <v>15.2</v>
      </c>
      <c r="AD49" s="221">
        <v>15.2</v>
      </c>
      <c r="AE49" s="221">
        <v>15.2</v>
      </c>
      <c r="AF49" s="221">
        <v>15.2</v>
      </c>
      <c r="AG49" s="235">
        <v>24</v>
      </c>
      <c r="AH49" s="226">
        <f t="shared" si="2"/>
        <v>17</v>
      </c>
      <c r="AI49" s="227">
        <f t="shared" si="3"/>
        <v>15.2</v>
      </c>
      <c r="AK49" s="228"/>
    </row>
    <row r="50" spans="1:41" x14ac:dyDescent="0.25">
      <c r="A50" s="234" t="s">
        <v>58</v>
      </c>
      <c r="B50" s="245">
        <v>2.5</v>
      </c>
      <c r="C50" s="245">
        <v>2.5</v>
      </c>
      <c r="D50" s="245">
        <v>2.5</v>
      </c>
      <c r="E50" s="245">
        <v>2.5</v>
      </c>
      <c r="F50" s="245">
        <v>2.5</v>
      </c>
      <c r="G50" s="245">
        <v>2.5</v>
      </c>
      <c r="H50" s="245">
        <v>2.5</v>
      </c>
      <c r="I50" s="245">
        <v>2.5</v>
      </c>
      <c r="J50" s="245">
        <v>2.5</v>
      </c>
      <c r="K50" s="245">
        <v>2.5</v>
      </c>
      <c r="L50" s="245">
        <v>2.5</v>
      </c>
      <c r="M50" s="245">
        <v>2.5</v>
      </c>
      <c r="N50" s="245">
        <v>2.5</v>
      </c>
      <c r="O50" s="221">
        <v>2.5</v>
      </c>
      <c r="P50" s="221">
        <v>0</v>
      </c>
      <c r="Q50" s="221">
        <v>0</v>
      </c>
      <c r="R50" s="221">
        <v>0</v>
      </c>
      <c r="S50" s="221">
        <v>0</v>
      </c>
      <c r="T50" s="221">
        <v>0</v>
      </c>
      <c r="U50" s="221">
        <v>0</v>
      </c>
      <c r="V50" s="221">
        <v>0</v>
      </c>
      <c r="W50" s="221">
        <v>0</v>
      </c>
      <c r="X50" s="221">
        <v>0</v>
      </c>
      <c r="Y50" s="221">
        <v>0</v>
      </c>
      <c r="Z50" s="221">
        <v>0</v>
      </c>
      <c r="AA50" s="221">
        <v>0</v>
      </c>
      <c r="AB50" s="221">
        <v>0</v>
      </c>
      <c r="AC50" s="221">
        <v>0</v>
      </c>
      <c r="AD50" s="221">
        <v>0</v>
      </c>
      <c r="AE50" s="221">
        <v>0</v>
      </c>
      <c r="AF50" s="221">
        <v>0</v>
      </c>
      <c r="AG50" s="235">
        <v>15</v>
      </c>
      <c r="AH50" s="226">
        <f t="shared" si="2"/>
        <v>2.5</v>
      </c>
      <c r="AI50" s="227">
        <f t="shared" si="3"/>
        <v>0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12.4</v>
      </c>
      <c r="C51" s="245">
        <v>12.4</v>
      </c>
      <c r="D51" s="245">
        <v>12.4</v>
      </c>
      <c r="E51" s="245">
        <v>12.4</v>
      </c>
      <c r="F51" s="245">
        <v>12.4</v>
      </c>
      <c r="G51" s="245">
        <v>12.4</v>
      </c>
      <c r="H51" s="245">
        <v>12.4</v>
      </c>
      <c r="I51" s="245">
        <v>12.4</v>
      </c>
      <c r="J51" s="245">
        <v>12.4</v>
      </c>
      <c r="K51" s="245">
        <v>12.4</v>
      </c>
      <c r="L51" s="245">
        <v>12.4</v>
      </c>
      <c r="M51" s="245">
        <v>12.1</v>
      </c>
      <c r="N51" s="245">
        <v>13.1</v>
      </c>
      <c r="O51" s="221">
        <v>13.2</v>
      </c>
      <c r="P51" s="221">
        <v>13.2</v>
      </c>
      <c r="Q51" s="221">
        <v>13.2</v>
      </c>
      <c r="R51" s="221">
        <v>13</v>
      </c>
      <c r="S51" s="221">
        <v>13</v>
      </c>
      <c r="T51" s="221">
        <v>13</v>
      </c>
      <c r="U51" s="221">
        <v>13</v>
      </c>
      <c r="V51" s="221">
        <v>13</v>
      </c>
      <c r="W51" s="221">
        <v>13</v>
      </c>
      <c r="X51" s="221">
        <v>13</v>
      </c>
      <c r="Y51" s="221">
        <v>13</v>
      </c>
      <c r="Z51" s="221">
        <v>13</v>
      </c>
      <c r="AA51" s="221">
        <v>13</v>
      </c>
      <c r="AB51" s="221">
        <v>13</v>
      </c>
      <c r="AC51" s="221">
        <v>13</v>
      </c>
      <c r="AD51" s="221">
        <v>13</v>
      </c>
      <c r="AE51" s="221">
        <v>13</v>
      </c>
      <c r="AF51" s="221">
        <v>13</v>
      </c>
      <c r="AG51" s="235">
        <v>14.1</v>
      </c>
      <c r="AH51" s="226">
        <f t="shared" si="2"/>
        <v>13.2</v>
      </c>
      <c r="AI51" s="227">
        <f t="shared" si="3"/>
        <v>12.1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5</v>
      </c>
      <c r="C52" s="245">
        <v>5</v>
      </c>
      <c r="D52" s="245">
        <v>5</v>
      </c>
      <c r="E52" s="245">
        <v>5</v>
      </c>
      <c r="F52" s="245">
        <v>5</v>
      </c>
      <c r="G52" s="245">
        <v>5</v>
      </c>
      <c r="H52" s="245">
        <v>13</v>
      </c>
      <c r="I52" s="245">
        <v>14</v>
      </c>
      <c r="J52" s="245">
        <v>14</v>
      </c>
      <c r="K52" s="245">
        <v>14</v>
      </c>
      <c r="L52" s="245">
        <v>14</v>
      </c>
      <c r="M52" s="245">
        <v>14</v>
      </c>
      <c r="N52" s="245">
        <v>14</v>
      </c>
      <c r="O52" s="221">
        <v>4</v>
      </c>
      <c r="P52" s="221">
        <v>4</v>
      </c>
      <c r="Q52" s="221">
        <v>4</v>
      </c>
      <c r="R52" s="221">
        <v>4</v>
      </c>
      <c r="S52" s="221">
        <v>4</v>
      </c>
      <c r="T52" s="221">
        <v>4</v>
      </c>
      <c r="U52" s="221">
        <v>4</v>
      </c>
      <c r="V52" s="221">
        <v>4</v>
      </c>
      <c r="W52" s="221">
        <v>4</v>
      </c>
      <c r="X52" s="221">
        <v>4</v>
      </c>
      <c r="Y52" s="221">
        <v>4</v>
      </c>
      <c r="Z52" s="221">
        <v>4</v>
      </c>
      <c r="AA52" s="221">
        <v>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</v>
      </c>
      <c r="AI52" s="227">
        <f t="shared" si="3"/>
        <v>4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21">
        <v>10</v>
      </c>
      <c r="P53" s="221">
        <v>10</v>
      </c>
      <c r="Q53" s="221">
        <v>10</v>
      </c>
      <c r="R53" s="221">
        <v>10</v>
      </c>
      <c r="S53" s="221">
        <v>10</v>
      </c>
      <c r="T53" s="221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v>429.73999999999995</v>
      </c>
      <c r="C56" s="241">
        <f t="shared" ref="C56:AG56" si="6">SUM(C43:C55)</f>
        <v>392.04</v>
      </c>
      <c r="D56" s="241">
        <f t="shared" si="6"/>
        <v>340.14</v>
      </c>
      <c r="E56" s="241">
        <f t="shared" si="6"/>
        <v>316.64</v>
      </c>
      <c r="F56" s="241">
        <f t="shared" si="6"/>
        <v>309.44</v>
      </c>
      <c r="G56" s="241">
        <f t="shared" si="6"/>
        <v>282.53999999999996</v>
      </c>
      <c r="H56" s="241">
        <f t="shared" si="6"/>
        <v>300.74</v>
      </c>
      <c r="I56" s="241">
        <f t="shared" si="6"/>
        <v>301.04000000000002</v>
      </c>
      <c r="J56" s="241">
        <f t="shared" si="6"/>
        <v>355.04</v>
      </c>
      <c r="K56" s="241">
        <f t="shared" si="6"/>
        <v>380.44</v>
      </c>
      <c r="L56" s="241">
        <f t="shared" si="6"/>
        <v>412.84000000000003</v>
      </c>
      <c r="M56" s="241">
        <f t="shared" si="6"/>
        <v>412.54</v>
      </c>
      <c r="N56" s="241">
        <f t="shared" si="6"/>
        <v>431.14</v>
      </c>
      <c r="O56" s="241">
        <f t="shared" si="6"/>
        <v>421.34</v>
      </c>
      <c r="P56" s="241">
        <f t="shared" si="6"/>
        <v>422.04</v>
      </c>
      <c r="Q56" s="241">
        <f t="shared" si="6"/>
        <v>420.93999999999994</v>
      </c>
      <c r="R56" s="241">
        <f t="shared" si="6"/>
        <v>421.34</v>
      </c>
      <c r="S56" s="241">
        <f t="shared" si="6"/>
        <v>423.03999999999996</v>
      </c>
      <c r="T56" s="241">
        <f t="shared" si="6"/>
        <v>423.43999999999994</v>
      </c>
      <c r="U56" s="241">
        <f t="shared" si="6"/>
        <v>423.43999999999994</v>
      </c>
      <c r="V56" s="241">
        <f t="shared" si="6"/>
        <v>423.43999999999994</v>
      </c>
      <c r="W56" s="241">
        <f t="shared" si="6"/>
        <v>423.43999999999994</v>
      </c>
      <c r="X56" s="241">
        <f t="shared" si="6"/>
        <v>423.43999999999994</v>
      </c>
      <c r="Y56" s="241">
        <f t="shared" si="6"/>
        <v>423.43999999999994</v>
      </c>
      <c r="Z56" s="241">
        <f t="shared" si="6"/>
        <v>423.43999999999994</v>
      </c>
      <c r="AA56" s="241">
        <f t="shared" si="6"/>
        <v>423.43999999999994</v>
      </c>
      <c r="AB56" s="241">
        <f t="shared" si="6"/>
        <v>433.43999999999994</v>
      </c>
      <c r="AC56" s="241">
        <f t="shared" si="6"/>
        <v>433.43999999999994</v>
      </c>
      <c r="AD56" s="241">
        <f t="shared" si="6"/>
        <v>433.43999999999994</v>
      </c>
      <c r="AE56" s="241">
        <f t="shared" si="6"/>
        <v>433.43999999999994</v>
      </c>
      <c r="AF56" s="241">
        <f t="shared" si="6"/>
        <v>433.43999999999994</v>
      </c>
      <c r="AG56" s="242">
        <f t="shared" si="6"/>
        <v>489.91</v>
      </c>
      <c r="AH56" s="226">
        <f t="shared" si="2"/>
        <v>433.43999999999994</v>
      </c>
      <c r="AI56" s="227">
        <f t="shared" si="3"/>
        <v>282.53999999999996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30</v>
      </c>
      <c r="Z57" s="221">
        <v>60</v>
      </c>
      <c r="AA57" s="221">
        <v>60</v>
      </c>
      <c r="AB57" s="221">
        <v>19</v>
      </c>
      <c r="AC57" s="221">
        <v>30</v>
      </c>
      <c r="AD57" s="221">
        <v>14</v>
      </c>
      <c r="AE57" s="221">
        <v>0</v>
      </c>
      <c r="AF57" s="221">
        <v>0</v>
      </c>
      <c r="AG57" s="230">
        <v>60</v>
      </c>
      <c r="AH57" s="226">
        <f t="shared" si="2"/>
        <v>60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6.6</v>
      </c>
      <c r="Z58" s="245">
        <v>29</v>
      </c>
      <c r="AA58" s="245">
        <v>25</v>
      </c>
      <c r="AB58" s="245">
        <v>14</v>
      </c>
      <c r="AC58" s="245">
        <v>14</v>
      </c>
      <c r="AD58" s="245">
        <v>7</v>
      </c>
      <c r="AE58" s="245">
        <v>0</v>
      </c>
      <c r="AF58" s="245">
        <v>0</v>
      </c>
      <c r="AG58" s="235">
        <v>32</v>
      </c>
      <c r="AH58" s="226">
        <f t="shared" si="2"/>
        <v>29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2.4</v>
      </c>
      <c r="Z59" s="247">
        <v>11</v>
      </c>
      <c r="AA59" s="247">
        <v>9</v>
      </c>
      <c r="AB59" s="247">
        <v>5.0999999999999996</v>
      </c>
      <c r="AC59" s="247">
        <v>6</v>
      </c>
      <c r="AD59" s="247">
        <v>3</v>
      </c>
      <c r="AE59" s="247">
        <v>0</v>
      </c>
      <c r="AF59" s="247">
        <v>0</v>
      </c>
      <c r="AG59" s="248">
        <v>14</v>
      </c>
      <c r="AH59" s="226">
        <f t="shared" si="2"/>
        <v>11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39</v>
      </c>
      <c r="Z60" s="241">
        <f t="shared" si="7"/>
        <v>100</v>
      </c>
      <c r="AA60" s="241">
        <f t="shared" si="7"/>
        <v>94</v>
      </c>
      <c r="AB60" s="241">
        <f t="shared" si="7"/>
        <v>38.1</v>
      </c>
      <c r="AC60" s="241">
        <f t="shared" si="7"/>
        <v>50</v>
      </c>
      <c r="AD60" s="241">
        <f t="shared" si="7"/>
        <v>24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100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0</v>
      </c>
      <c r="T61" s="221">
        <v>0</v>
      </c>
      <c r="U61" s="221">
        <v>0</v>
      </c>
      <c r="V61" s="221">
        <v>0</v>
      </c>
      <c r="W61" s="221">
        <v>0</v>
      </c>
      <c r="X61" s="221">
        <v>0</v>
      </c>
      <c r="Y61" s="221">
        <v>0</v>
      </c>
      <c r="Z61" s="221">
        <v>0</v>
      </c>
      <c r="AA61" s="221">
        <v>19</v>
      </c>
      <c r="AB61" s="221">
        <v>15.5</v>
      </c>
      <c r="AC61" s="221">
        <v>8</v>
      </c>
      <c r="AD61" s="221">
        <v>3.3</v>
      </c>
      <c r="AE61" s="221">
        <v>0</v>
      </c>
      <c r="AF61" s="221">
        <v>0</v>
      </c>
      <c r="AG61" s="230"/>
      <c r="AH61" s="226">
        <f t="shared" si="2"/>
        <v>19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-417</v>
      </c>
      <c r="C63" s="245">
        <v>-468</v>
      </c>
      <c r="D63" s="245">
        <v>-458</v>
      </c>
      <c r="E63" s="245">
        <v>-448</v>
      </c>
      <c r="F63" s="245">
        <v>-446.7</v>
      </c>
      <c r="G63" s="245">
        <v>-442.8</v>
      </c>
      <c r="H63" s="245">
        <v>-447</v>
      </c>
      <c r="I63" s="245">
        <v>-449</v>
      </c>
      <c r="J63" s="245">
        <v>-424.8</v>
      </c>
      <c r="K63" s="245">
        <v>-393.1</v>
      </c>
      <c r="L63" s="245">
        <v>-412.8</v>
      </c>
      <c r="M63" s="245">
        <v>-435.5</v>
      </c>
      <c r="N63" s="245">
        <v>-386.8</v>
      </c>
      <c r="O63" s="245">
        <v>-364</v>
      </c>
      <c r="P63" s="245">
        <v>-404.7</v>
      </c>
      <c r="Q63" s="245">
        <v>-372.1</v>
      </c>
      <c r="R63" s="245">
        <v>-355.2</v>
      </c>
      <c r="S63" s="245">
        <v>-360</v>
      </c>
      <c r="T63" s="245">
        <v>-370</v>
      </c>
      <c r="U63" s="245">
        <v>-377</v>
      </c>
      <c r="V63" s="245">
        <v>-426</v>
      </c>
      <c r="W63" s="245">
        <v>-426</v>
      </c>
      <c r="X63" s="245">
        <v>-392</v>
      </c>
      <c r="Y63" s="245">
        <v>-263</v>
      </c>
      <c r="Z63" s="245">
        <v>-242</v>
      </c>
      <c r="AA63" s="245">
        <v>-267</v>
      </c>
      <c r="AB63" s="245">
        <v>-265</v>
      </c>
      <c r="AC63" s="245">
        <v>-295</v>
      </c>
      <c r="AD63" s="245">
        <v>-301</v>
      </c>
      <c r="AE63" s="245">
        <v>-360</v>
      </c>
      <c r="AF63" s="245">
        <v>-394</v>
      </c>
      <c r="AG63" s="255"/>
      <c r="AH63" s="226">
        <f t="shared" si="2"/>
        <v>-242</v>
      </c>
      <c r="AI63" s="227">
        <f t="shared" si="3"/>
        <v>-468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4</v>
      </c>
      <c r="C66" s="257">
        <v>4</v>
      </c>
      <c r="D66" s="257">
        <v>4</v>
      </c>
      <c r="E66" s="257">
        <v>4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4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v>4</v>
      </c>
      <c r="C72" s="241">
        <f t="shared" ref="C72:L72" si="8">SUMIF(C61:C71,"&gt;0")</f>
        <v>4</v>
      </c>
      <c r="D72" s="241">
        <f t="shared" si="8"/>
        <v>4</v>
      </c>
      <c r="E72" s="241">
        <f t="shared" si="8"/>
        <v>4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>SUMIF(R61:R71,"&gt;0")</f>
        <v>0</v>
      </c>
      <c r="S72" s="241">
        <f t="shared" si="9"/>
        <v>0</v>
      </c>
      <c r="T72" s="241">
        <f t="shared" si="9"/>
        <v>0</v>
      </c>
      <c r="U72" s="241">
        <f t="shared" si="9"/>
        <v>0</v>
      </c>
      <c r="V72" s="241">
        <f t="shared" si="9"/>
        <v>0</v>
      </c>
      <c r="W72" s="241">
        <f t="shared" si="9"/>
        <v>0</v>
      </c>
      <c r="X72" s="241">
        <f t="shared" si="9"/>
        <v>0</v>
      </c>
      <c r="Y72" s="241">
        <f t="shared" si="9"/>
        <v>0</v>
      </c>
      <c r="Z72" s="241">
        <f t="shared" si="9"/>
        <v>0</v>
      </c>
      <c r="AA72" s="241">
        <f t="shared" si="9"/>
        <v>19</v>
      </c>
      <c r="AB72" s="241">
        <f t="shared" si="9"/>
        <v>15.5</v>
      </c>
      <c r="AC72" s="241">
        <f t="shared" si="9"/>
        <v>8</v>
      </c>
      <c r="AD72" s="241">
        <f t="shared" si="9"/>
        <v>3.3</v>
      </c>
      <c r="AE72" s="241">
        <f t="shared" si="9"/>
        <v>0</v>
      </c>
      <c r="AF72" s="241">
        <f t="shared" si="9"/>
        <v>0</v>
      </c>
      <c r="AG72" s="261">
        <f>SUM(AG61:AG71)</f>
        <v>0</v>
      </c>
      <c r="AH72" s="226">
        <f t="shared" si="2"/>
        <v>19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/>
      <c r="D73" s="256"/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/>
      <c r="D74" s="257"/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/>
      <c r="D75" s="259"/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v>1745.04</v>
      </c>
      <c r="C77" s="263">
        <f t="shared" ref="C77:AF77" si="10">C38+C42+C60+C56+C72+C76</f>
        <v>1665.1399999999999</v>
      </c>
      <c r="D77" s="263">
        <f t="shared" si="10"/>
        <v>1613.2399999999998</v>
      </c>
      <c r="E77" s="263">
        <f t="shared" si="10"/>
        <v>1587.7399999999998</v>
      </c>
      <c r="F77" s="263">
        <f t="shared" si="10"/>
        <v>1580.54</v>
      </c>
      <c r="G77" s="263">
        <f t="shared" si="10"/>
        <v>1571.6399999999999</v>
      </c>
      <c r="H77" s="263">
        <f t="shared" si="10"/>
        <v>1571.84</v>
      </c>
      <c r="I77" s="263">
        <f t="shared" si="10"/>
        <v>1571.1399999999999</v>
      </c>
      <c r="J77" s="263">
        <f t="shared" si="10"/>
        <v>1625.1399999999999</v>
      </c>
      <c r="K77" s="263">
        <f t="shared" si="10"/>
        <v>1657.54</v>
      </c>
      <c r="L77" s="263">
        <f t="shared" si="10"/>
        <v>1711.94</v>
      </c>
      <c r="M77" s="263">
        <f t="shared" si="10"/>
        <v>1763.1399999999999</v>
      </c>
      <c r="N77" s="263">
        <f t="shared" si="10"/>
        <v>1768.54</v>
      </c>
      <c r="O77" s="263">
        <f t="shared" si="10"/>
        <v>1745.74</v>
      </c>
      <c r="P77" s="263">
        <f t="shared" si="10"/>
        <v>1771.44</v>
      </c>
      <c r="Q77" s="263">
        <f t="shared" si="10"/>
        <v>1776.3400000000001</v>
      </c>
      <c r="R77" s="263">
        <f t="shared" si="10"/>
        <v>1776.74</v>
      </c>
      <c r="S77" s="263">
        <f t="shared" si="10"/>
        <v>1778.24</v>
      </c>
      <c r="T77" s="263">
        <f t="shared" si="10"/>
        <v>1778.6399999999999</v>
      </c>
      <c r="U77" s="263">
        <f t="shared" si="10"/>
        <v>1775.6399999999999</v>
      </c>
      <c r="V77" s="263">
        <f t="shared" si="10"/>
        <v>1770.6399999999999</v>
      </c>
      <c r="W77" s="263">
        <f t="shared" si="10"/>
        <v>1755.6399999999999</v>
      </c>
      <c r="X77" s="263">
        <f t="shared" si="10"/>
        <v>1755.6399999999999</v>
      </c>
      <c r="Y77" s="263">
        <f t="shared" si="10"/>
        <v>1816.6399999999999</v>
      </c>
      <c r="Z77" s="263">
        <f t="shared" si="10"/>
        <v>1877.6399999999999</v>
      </c>
      <c r="AA77" s="263">
        <f t="shared" si="10"/>
        <v>1889.54</v>
      </c>
      <c r="AB77" s="263">
        <f t="shared" si="10"/>
        <v>1840.1399999999999</v>
      </c>
      <c r="AC77" s="263">
        <f t="shared" si="10"/>
        <v>1844.54</v>
      </c>
      <c r="AD77" s="263">
        <f t="shared" si="10"/>
        <v>1810.84</v>
      </c>
      <c r="AE77" s="263">
        <f t="shared" si="10"/>
        <v>1778.54</v>
      </c>
      <c r="AF77" s="263">
        <f t="shared" si="10"/>
        <v>1763.54</v>
      </c>
      <c r="AG77" s="242">
        <f>AG38+AG42+AG60+AG56+AG72+AG76</f>
        <v>1855.1900000000003</v>
      </c>
      <c r="AH77" s="226">
        <f t="shared" si="2"/>
        <v>1889.54</v>
      </c>
      <c r="AI77" s="227">
        <f t="shared" si="3"/>
        <v>1571.1399999999999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v>1745.04</v>
      </c>
      <c r="C79" s="263">
        <f t="shared" ref="C79:AF79" si="11">C77+C78</f>
        <v>1665.1399999999999</v>
      </c>
      <c r="D79" s="263">
        <f t="shared" si="11"/>
        <v>1613.2399999999998</v>
      </c>
      <c r="E79" s="263">
        <f t="shared" si="11"/>
        <v>1587.7399999999998</v>
      </c>
      <c r="F79" s="263">
        <f t="shared" si="11"/>
        <v>1580.54</v>
      </c>
      <c r="G79" s="263">
        <f t="shared" si="11"/>
        <v>1571.6399999999999</v>
      </c>
      <c r="H79" s="263">
        <f t="shared" si="11"/>
        <v>1571.84</v>
      </c>
      <c r="I79" s="263">
        <f t="shared" si="11"/>
        <v>1571.1399999999999</v>
      </c>
      <c r="J79" s="263">
        <f t="shared" si="11"/>
        <v>1625.1399999999999</v>
      </c>
      <c r="K79" s="263">
        <f t="shared" si="11"/>
        <v>1657.54</v>
      </c>
      <c r="L79" s="263">
        <f t="shared" si="11"/>
        <v>1711.94</v>
      </c>
      <c r="M79" s="263">
        <f t="shared" si="11"/>
        <v>1763.1399999999999</v>
      </c>
      <c r="N79" s="263">
        <f t="shared" si="11"/>
        <v>1768.54</v>
      </c>
      <c r="O79" s="263">
        <f t="shared" si="11"/>
        <v>1745.74</v>
      </c>
      <c r="P79" s="263">
        <f t="shared" si="11"/>
        <v>1771.44</v>
      </c>
      <c r="Q79" s="263">
        <f t="shared" si="11"/>
        <v>1776.3400000000001</v>
      </c>
      <c r="R79" s="263">
        <f t="shared" si="11"/>
        <v>1776.74</v>
      </c>
      <c r="S79" s="263">
        <f t="shared" si="11"/>
        <v>1778.24</v>
      </c>
      <c r="T79" s="263">
        <f t="shared" si="11"/>
        <v>1778.6399999999999</v>
      </c>
      <c r="U79" s="263">
        <f t="shared" si="11"/>
        <v>1775.6399999999999</v>
      </c>
      <c r="V79" s="263">
        <f t="shared" si="11"/>
        <v>1770.6399999999999</v>
      </c>
      <c r="W79" s="263">
        <f t="shared" si="11"/>
        <v>1755.6399999999999</v>
      </c>
      <c r="X79" s="263">
        <f t="shared" si="11"/>
        <v>1755.6399999999999</v>
      </c>
      <c r="Y79" s="263">
        <f t="shared" si="11"/>
        <v>1816.6399999999999</v>
      </c>
      <c r="Z79" s="263">
        <f t="shared" si="11"/>
        <v>1877.6399999999999</v>
      </c>
      <c r="AA79" s="263">
        <f t="shared" si="11"/>
        <v>1889.54</v>
      </c>
      <c r="AB79" s="263">
        <f t="shared" si="11"/>
        <v>1840.1399999999999</v>
      </c>
      <c r="AC79" s="263">
        <f t="shared" si="11"/>
        <v>1844.54</v>
      </c>
      <c r="AD79" s="263">
        <f t="shared" si="11"/>
        <v>1810.84</v>
      </c>
      <c r="AE79" s="263">
        <f t="shared" si="11"/>
        <v>1778.54</v>
      </c>
      <c r="AF79" s="263">
        <f t="shared" si="11"/>
        <v>1763.54</v>
      </c>
      <c r="AG79" s="261">
        <f>AG76+AG72+AG60+AG56+AG38+AG78</f>
        <v>1317.0900000000001</v>
      </c>
      <c r="AH79" s="226">
        <f t="shared" si="2"/>
        <v>1889.54</v>
      </c>
      <c r="AI79" s="227">
        <f t="shared" si="3"/>
        <v>1571.1399999999999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v>1308.04</v>
      </c>
      <c r="C80" s="263">
        <f t="shared" ref="C80:AF80" si="12">C79-C87</f>
        <v>1197.1399999999999</v>
      </c>
      <c r="D80" s="263">
        <f t="shared" si="12"/>
        <v>1155.2399999999998</v>
      </c>
      <c r="E80" s="263">
        <f t="shared" si="12"/>
        <v>1139.7399999999998</v>
      </c>
      <c r="F80" s="263">
        <f t="shared" si="12"/>
        <v>1133.8399999999999</v>
      </c>
      <c r="G80" s="263">
        <f t="shared" si="12"/>
        <v>1128.8399999999999</v>
      </c>
      <c r="H80" s="263">
        <f t="shared" si="12"/>
        <v>1124.8399999999999</v>
      </c>
      <c r="I80" s="263">
        <f t="shared" si="12"/>
        <v>1122.1399999999999</v>
      </c>
      <c r="J80" s="263">
        <f t="shared" si="12"/>
        <v>1200.3399999999999</v>
      </c>
      <c r="K80" s="263">
        <f t="shared" si="12"/>
        <v>1264.44</v>
      </c>
      <c r="L80" s="263">
        <f t="shared" si="12"/>
        <v>1299.1400000000001</v>
      </c>
      <c r="M80" s="263">
        <f t="shared" si="12"/>
        <v>1327.6399999999999</v>
      </c>
      <c r="N80" s="263">
        <f t="shared" si="12"/>
        <v>1381.74</v>
      </c>
      <c r="O80" s="263">
        <f t="shared" si="12"/>
        <v>1381.74</v>
      </c>
      <c r="P80" s="263">
        <f t="shared" si="12"/>
        <v>1366.74</v>
      </c>
      <c r="Q80" s="263">
        <f t="shared" si="12"/>
        <v>1404.2400000000002</v>
      </c>
      <c r="R80" s="263">
        <f t="shared" si="12"/>
        <v>1421.54</v>
      </c>
      <c r="S80" s="263">
        <f t="shared" si="12"/>
        <v>1418.24</v>
      </c>
      <c r="T80" s="263">
        <f t="shared" si="12"/>
        <v>1408.6399999999999</v>
      </c>
      <c r="U80" s="263">
        <f t="shared" si="12"/>
        <v>1398.6399999999999</v>
      </c>
      <c r="V80" s="263">
        <f t="shared" si="12"/>
        <v>1344.6399999999999</v>
      </c>
      <c r="W80" s="263">
        <f t="shared" si="12"/>
        <v>1329.6399999999999</v>
      </c>
      <c r="X80" s="263">
        <f t="shared" si="12"/>
        <v>1363.6399999999999</v>
      </c>
      <c r="Y80" s="263">
        <f t="shared" si="12"/>
        <v>1553.6399999999999</v>
      </c>
      <c r="Z80" s="263">
        <f t="shared" si="12"/>
        <v>1635.6399999999999</v>
      </c>
      <c r="AA80" s="263">
        <f t="shared" si="12"/>
        <v>1622.54</v>
      </c>
      <c r="AB80" s="263">
        <f t="shared" si="12"/>
        <v>1575.1399999999999</v>
      </c>
      <c r="AC80" s="263">
        <f t="shared" si="12"/>
        <v>1549.54</v>
      </c>
      <c r="AD80" s="263">
        <f t="shared" si="12"/>
        <v>1509.84</v>
      </c>
      <c r="AE80" s="263">
        <f t="shared" si="12"/>
        <v>1418.54</v>
      </c>
      <c r="AF80" s="263">
        <f t="shared" si="12"/>
        <v>1369.54</v>
      </c>
      <c r="AG80" s="261"/>
      <c r="AH80" s="226">
        <f t="shared" ref="AH80:AH97" si="13">MAX(B80:AF80)</f>
        <v>1635.6399999999999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v>437</v>
      </c>
      <c r="C84" s="256">
        <f t="shared" ref="C84:AF84" si="18">IF(C63&lt;0,C63*-1,0)</f>
        <v>468</v>
      </c>
      <c r="D84" s="256">
        <f t="shared" si="18"/>
        <v>458</v>
      </c>
      <c r="E84" s="256">
        <f t="shared" si="18"/>
        <v>448</v>
      </c>
      <c r="F84" s="256">
        <f t="shared" si="18"/>
        <v>446.7</v>
      </c>
      <c r="G84" s="256">
        <f t="shared" si="18"/>
        <v>442.8</v>
      </c>
      <c r="H84" s="256">
        <f t="shared" si="18"/>
        <v>447</v>
      </c>
      <c r="I84" s="256">
        <f t="shared" si="18"/>
        <v>449</v>
      </c>
      <c r="J84" s="256">
        <f t="shared" si="18"/>
        <v>424.8</v>
      </c>
      <c r="K84" s="256">
        <f t="shared" si="18"/>
        <v>393.1</v>
      </c>
      <c r="L84" s="256">
        <f t="shared" si="18"/>
        <v>412.8</v>
      </c>
      <c r="M84" s="256">
        <f t="shared" si="18"/>
        <v>435.5</v>
      </c>
      <c r="N84" s="256">
        <f t="shared" si="18"/>
        <v>386.8</v>
      </c>
      <c r="O84" s="256">
        <f t="shared" si="18"/>
        <v>364</v>
      </c>
      <c r="P84" s="256">
        <f t="shared" si="18"/>
        <v>404.7</v>
      </c>
      <c r="Q84" s="256">
        <f t="shared" si="18"/>
        <v>372.1</v>
      </c>
      <c r="R84" s="256">
        <f t="shared" si="18"/>
        <v>355.2</v>
      </c>
      <c r="S84" s="256">
        <f t="shared" si="18"/>
        <v>360</v>
      </c>
      <c r="T84" s="256">
        <f t="shared" si="18"/>
        <v>370</v>
      </c>
      <c r="U84" s="256">
        <f t="shared" si="18"/>
        <v>377</v>
      </c>
      <c r="V84" s="256">
        <f t="shared" si="18"/>
        <v>426</v>
      </c>
      <c r="W84" s="256">
        <f t="shared" si="18"/>
        <v>426</v>
      </c>
      <c r="X84" s="256">
        <f t="shared" si="18"/>
        <v>392</v>
      </c>
      <c r="Y84" s="256">
        <f t="shared" si="18"/>
        <v>263</v>
      </c>
      <c r="Z84" s="256">
        <f t="shared" si="18"/>
        <v>242</v>
      </c>
      <c r="AA84" s="256">
        <f t="shared" si="18"/>
        <v>267</v>
      </c>
      <c r="AB84" s="256">
        <f t="shared" si="18"/>
        <v>265</v>
      </c>
      <c r="AC84" s="256">
        <f t="shared" si="18"/>
        <v>295</v>
      </c>
      <c r="AD84" s="256">
        <f t="shared" si="18"/>
        <v>301</v>
      </c>
      <c r="AE84" s="256">
        <f t="shared" si="18"/>
        <v>360</v>
      </c>
      <c r="AF84" s="256">
        <f t="shared" si="18"/>
        <v>394</v>
      </c>
      <c r="AG84" s="266"/>
      <c r="AH84" s="226">
        <f t="shared" si="13"/>
        <v>468</v>
      </c>
      <c r="AI84" s="227">
        <f t="shared" si="15"/>
        <v>242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v>437</v>
      </c>
      <c r="C87" s="241">
        <f t="shared" ref="C87:AF87" si="20">SUM(C81:C86)</f>
        <v>468</v>
      </c>
      <c r="D87" s="241">
        <f t="shared" si="20"/>
        <v>458</v>
      </c>
      <c r="E87" s="241">
        <f t="shared" si="20"/>
        <v>448</v>
      </c>
      <c r="F87" s="241">
        <f t="shared" si="20"/>
        <v>446.7</v>
      </c>
      <c r="G87" s="241">
        <f t="shared" si="20"/>
        <v>442.8</v>
      </c>
      <c r="H87" s="241">
        <f t="shared" si="20"/>
        <v>447</v>
      </c>
      <c r="I87" s="241">
        <f t="shared" si="20"/>
        <v>449</v>
      </c>
      <c r="J87" s="241">
        <f t="shared" si="20"/>
        <v>424.8</v>
      </c>
      <c r="K87" s="241">
        <f t="shared" si="20"/>
        <v>393.1</v>
      </c>
      <c r="L87" s="241">
        <f t="shared" si="20"/>
        <v>412.8</v>
      </c>
      <c r="M87" s="241">
        <f t="shared" si="20"/>
        <v>435.5</v>
      </c>
      <c r="N87" s="241">
        <f t="shared" si="20"/>
        <v>386.8</v>
      </c>
      <c r="O87" s="241">
        <f t="shared" si="20"/>
        <v>364</v>
      </c>
      <c r="P87" s="241">
        <f t="shared" si="20"/>
        <v>404.7</v>
      </c>
      <c r="Q87" s="241">
        <f t="shared" si="20"/>
        <v>372.1</v>
      </c>
      <c r="R87" s="241">
        <f t="shared" si="20"/>
        <v>355.2</v>
      </c>
      <c r="S87" s="241">
        <f t="shared" si="20"/>
        <v>360</v>
      </c>
      <c r="T87" s="241">
        <f t="shared" si="20"/>
        <v>370</v>
      </c>
      <c r="U87" s="241">
        <f t="shared" si="20"/>
        <v>377</v>
      </c>
      <c r="V87" s="241">
        <f t="shared" si="20"/>
        <v>426</v>
      </c>
      <c r="W87" s="241">
        <f t="shared" si="20"/>
        <v>426</v>
      </c>
      <c r="X87" s="241">
        <f t="shared" si="20"/>
        <v>392</v>
      </c>
      <c r="Y87" s="241">
        <f t="shared" si="20"/>
        <v>263</v>
      </c>
      <c r="Z87" s="241">
        <f t="shared" si="20"/>
        <v>242</v>
      </c>
      <c r="AA87" s="241">
        <f t="shared" si="20"/>
        <v>267</v>
      </c>
      <c r="AB87" s="241">
        <f t="shared" si="20"/>
        <v>265</v>
      </c>
      <c r="AC87" s="241">
        <f t="shared" si="20"/>
        <v>295</v>
      </c>
      <c r="AD87" s="241">
        <f t="shared" si="20"/>
        <v>301</v>
      </c>
      <c r="AE87" s="241">
        <f t="shared" si="20"/>
        <v>360</v>
      </c>
      <c r="AF87" s="241">
        <f t="shared" si="20"/>
        <v>394</v>
      </c>
      <c r="AG87" s="261"/>
      <c r="AH87" s="226">
        <f t="shared" si="13"/>
        <v>468</v>
      </c>
      <c r="AI87" s="227">
        <f t="shared" si="15"/>
        <v>242</v>
      </c>
      <c r="AK87" s="228"/>
    </row>
    <row r="88" spans="1:88" s="175" customFormat="1" ht="15.75" thickBot="1" x14ac:dyDescent="0.3">
      <c r="A88" s="254" t="s">
        <v>93</v>
      </c>
      <c r="B88" s="241">
        <v>-433</v>
      </c>
      <c r="C88" s="241">
        <f t="shared" ref="C88:AF88" si="21">C72-C87</f>
        <v>-464</v>
      </c>
      <c r="D88" s="241">
        <f t="shared" si="21"/>
        <v>-454</v>
      </c>
      <c r="E88" s="241">
        <f t="shared" si="21"/>
        <v>-444</v>
      </c>
      <c r="F88" s="241">
        <f t="shared" si="21"/>
        <v>-446.7</v>
      </c>
      <c r="G88" s="241">
        <f t="shared" si="21"/>
        <v>-442.8</v>
      </c>
      <c r="H88" s="241">
        <f t="shared" si="21"/>
        <v>-447</v>
      </c>
      <c r="I88" s="241">
        <f t="shared" si="21"/>
        <v>-449</v>
      </c>
      <c r="J88" s="241">
        <f t="shared" si="21"/>
        <v>-424.8</v>
      </c>
      <c r="K88" s="241">
        <f t="shared" si="21"/>
        <v>-393.1</v>
      </c>
      <c r="L88" s="241">
        <f t="shared" si="21"/>
        <v>-412.8</v>
      </c>
      <c r="M88" s="241">
        <f t="shared" si="21"/>
        <v>-435.5</v>
      </c>
      <c r="N88" s="241">
        <f t="shared" si="21"/>
        <v>-386.8</v>
      </c>
      <c r="O88" s="241">
        <f t="shared" si="21"/>
        <v>-364</v>
      </c>
      <c r="P88" s="241">
        <f t="shared" si="21"/>
        <v>-404.7</v>
      </c>
      <c r="Q88" s="241">
        <f t="shared" si="21"/>
        <v>-372.1</v>
      </c>
      <c r="R88" s="241">
        <f t="shared" si="21"/>
        <v>-355.2</v>
      </c>
      <c r="S88" s="241">
        <f t="shared" si="21"/>
        <v>-360</v>
      </c>
      <c r="T88" s="241">
        <f t="shared" si="21"/>
        <v>-370</v>
      </c>
      <c r="U88" s="241">
        <f t="shared" si="21"/>
        <v>-377</v>
      </c>
      <c r="V88" s="241">
        <f t="shared" si="21"/>
        <v>-426</v>
      </c>
      <c r="W88" s="241">
        <f t="shared" si="21"/>
        <v>-426</v>
      </c>
      <c r="X88" s="241">
        <f t="shared" si="21"/>
        <v>-392</v>
      </c>
      <c r="Y88" s="241">
        <f t="shared" si="21"/>
        <v>-263</v>
      </c>
      <c r="Z88" s="241">
        <f t="shared" si="21"/>
        <v>-242</v>
      </c>
      <c r="AA88" s="241">
        <f t="shared" si="21"/>
        <v>-248</v>
      </c>
      <c r="AB88" s="241">
        <f t="shared" si="21"/>
        <v>-249.5</v>
      </c>
      <c r="AC88" s="241">
        <f t="shared" si="21"/>
        <v>-287</v>
      </c>
      <c r="AD88" s="241">
        <f t="shared" si="21"/>
        <v>-297.7</v>
      </c>
      <c r="AE88" s="241">
        <f t="shared" si="21"/>
        <v>-360</v>
      </c>
      <c r="AF88" s="241">
        <f t="shared" si="21"/>
        <v>-394</v>
      </c>
      <c r="AG88" s="261"/>
      <c r="AH88" s="226">
        <f t="shared" si="13"/>
        <v>-242</v>
      </c>
      <c r="AI88" s="227">
        <f t="shared" si="15"/>
        <v>-464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50.04</v>
      </c>
      <c r="C89" s="269">
        <v>50.04</v>
      </c>
      <c r="D89" s="269">
        <v>49.99</v>
      </c>
      <c r="E89" s="269">
        <v>50.014000000000003</v>
      </c>
      <c r="F89" s="269">
        <v>49.997999999999998</v>
      </c>
      <c r="G89" s="269">
        <v>49.997999999999998</v>
      </c>
      <c r="H89" s="269">
        <v>49.97</v>
      </c>
      <c r="I89" s="269">
        <v>50.027000000000001</v>
      </c>
      <c r="J89" s="269">
        <v>50</v>
      </c>
      <c r="K89" s="269">
        <v>50.029000000000003</v>
      </c>
      <c r="L89" s="269">
        <v>50.055</v>
      </c>
      <c r="M89" s="269">
        <v>49.994</v>
      </c>
      <c r="N89" s="269">
        <v>50.002000000000002</v>
      </c>
      <c r="O89" s="269">
        <v>50.122</v>
      </c>
      <c r="P89" s="269">
        <v>49.948999999999998</v>
      </c>
      <c r="Q89" s="269">
        <v>49.933999999999997</v>
      </c>
      <c r="R89" s="269">
        <v>49.97</v>
      </c>
      <c r="S89" s="269">
        <v>50.093000000000004</v>
      </c>
      <c r="T89" s="269">
        <v>50.037999999999997</v>
      </c>
      <c r="U89" s="269">
        <v>49.973999999999997</v>
      </c>
      <c r="V89" s="269">
        <v>49.997999999999998</v>
      </c>
      <c r="W89" s="269">
        <v>49.997999999999998</v>
      </c>
      <c r="X89" s="269">
        <v>50.03</v>
      </c>
      <c r="Y89" s="269">
        <v>49.905999999999999</v>
      </c>
      <c r="Z89" s="269">
        <v>50.05</v>
      </c>
      <c r="AA89" s="269">
        <v>50.05</v>
      </c>
      <c r="AB89" s="269">
        <v>50.03</v>
      </c>
      <c r="AC89" s="269">
        <v>50</v>
      </c>
      <c r="AD89" s="269">
        <v>49.972999999999999</v>
      </c>
      <c r="AE89" s="269">
        <v>49.993000000000002</v>
      </c>
      <c r="AF89" s="269">
        <v>49.993000000000002</v>
      </c>
      <c r="AG89" s="270"/>
      <c r="AH89" s="226">
        <f t="shared" si="13"/>
        <v>50.122</v>
      </c>
      <c r="AI89" s="227">
        <f t="shared" si="15"/>
        <v>49.905999999999999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126.6</v>
      </c>
      <c r="C90" s="245">
        <v>126.6</v>
      </c>
      <c r="D90" s="245">
        <v>128</v>
      </c>
      <c r="E90" s="245">
        <v>126.9</v>
      </c>
      <c r="F90" s="245">
        <v>126.5</v>
      </c>
      <c r="G90" s="245">
        <v>127</v>
      </c>
      <c r="H90" s="245">
        <v>127.8</v>
      </c>
      <c r="I90" s="245">
        <v>127.9</v>
      </c>
      <c r="J90" s="245">
        <v>125.1</v>
      </c>
      <c r="K90" s="245">
        <v>125.1</v>
      </c>
      <c r="L90" s="245">
        <v>123.8</v>
      </c>
      <c r="M90" s="245">
        <v>123</v>
      </c>
      <c r="N90" s="245">
        <v>123.9</v>
      </c>
      <c r="O90" s="245">
        <v>124.2</v>
      </c>
      <c r="P90" s="245">
        <v>123.3</v>
      </c>
      <c r="Q90" s="245">
        <v>123.8</v>
      </c>
      <c r="R90" s="245">
        <v>122.7</v>
      </c>
      <c r="S90" s="245">
        <v>123.1</v>
      </c>
      <c r="T90" s="245">
        <v>123.4</v>
      </c>
      <c r="U90" s="245">
        <v>123.4</v>
      </c>
      <c r="V90" s="245">
        <v>125</v>
      </c>
      <c r="W90" s="245">
        <v>125</v>
      </c>
      <c r="X90" s="245">
        <v>125</v>
      </c>
      <c r="Y90" s="245">
        <v>125</v>
      </c>
      <c r="Z90" s="245">
        <v>125</v>
      </c>
      <c r="AA90" s="245">
        <v>125</v>
      </c>
      <c r="AB90" s="245">
        <v>124.9</v>
      </c>
      <c r="AC90" s="245">
        <v>124.9</v>
      </c>
      <c r="AD90" s="245">
        <v>124.4</v>
      </c>
      <c r="AE90" s="245">
        <v>123.6</v>
      </c>
      <c r="AF90" s="245">
        <v>123.6</v>
      </c>
      <c r="AG90" s="272"/>
      <c r="AH90" s="226">
        <f t="shared" si="13"/>
        <v>128</v>
      </c>
      <c r="AI90" s="227">
        <f t="shared" si="15"/>
        <v>122.7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130.19999999999999</v>
      </c>
      <c r="C91" s="245">
        <v>130.19999999999999</v>
      </c>
      <c r="D91" s="245">
        <v>131.5</v>
      </c>
      <c r="E91" s="245">
        <v>130.80000000000001</v>
      </c>
      <c r="F91" s="245">
        <v>130.6</v>
      </c>
      <c r="G91" s="245">
        <v>130.6</v>
      </c>
      <c r="H91" s="245">
        <v>131.1</v>
      </c>
      <c r="I91" s="245">
        <v>130.69999999999999</v>
      </c>
      <c r="J91" s="245">
        <v>128.19999999999999</v>
      </c>
      <c r="K91" s="245">
        <v>128.19999999999999</v>
      </c>
      <c r="L91" s="245">
        <v>127.5</v>
      </c>
      <c r="M91" s="245">
        <v>126.9</v>
      </c>
      <c r="N91" s="245">
        <v>127.9</v>
      </c>
      <c r="O91" s="245">
        <v>127.5</v>
      </c>
      <c r="P91" s="245">
        <v>126.5</v>
      </c>
      <c r="Q91" s="245">
        <v>126.7</v>
      </c>
      <c r="R91" s="245">
        <v>126.3</v>
      </c>
      <c r="S91" s="245">
        <v>126.5</v>
      </c>
      <c r="T91" s="245">
        <v>126.7</v>
      </c>
      <c r="U91" s="245">
        <v>126.7</v>
      </c>
      <c r="V91" s="245">
        <v>128</v>
      </c>
      <c r="W91" s="245">
        <v>128</v>
      </c>
      <c r="X91" s="245">
        <v>128</v>
      </c>
      <c r="Y91" s="245">
        <v>128</v>
      </c>
      <c r="Z91" s="245">
        <v>128</v>
      </c>
      <c r="AA91" s="245">
        <v>128</v>
      </c>
      <c r="AB91" s="245">
        <v>128.5</v>
      </c>
      <c r="AC91" s="245">
        <v>128.5</v>
      </c>
      <c r="AD91" s="245">
        <v>129</v>
      </c>
      <c r="AE91" s="245">
        <v>128.5</v>
      </c>
      <c r="AF91" s="245">
        <v>128.5</v>
      </c>
      <c r="AG91" s="272"/>
      <c r="AH91" s="226">
        <f t="shared" si="13"/>
        <v>131.5</v>
      </c>
      <c r="AI91" s="227">
        <f t="shared" si="15"/>
        <v>126.3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129.80000000000001</v>
      </c>
      <c r="C92" s="245">
        <v>129.80000000000001</v>
      </c>
      <c r="D92" s="245">
        <v>131</v>
      </c>
      <c r="E92" s="245">
        <v>129.4</v>
      </c>
      <c r="F92" s="245">
        <v>128</v>
      </c>
      <c r="G92" s="245">
        <v>129</v>
      </c>
      <c r="H92" s="245">
        <v>129.4</v>
      </c>
      <c r="I92" s="245">
        <v>129.5</v>
      </c>
      <c r="J92" s="245">
        <v>127.8</v>
      </c>
      <c r="K92" s="245">
        <v>127.8</v>
      </c>
      <c r="L92" s="245">
        <v>127.3</v>
      </c>
      <c r="M92" s="245">
        <v>129.1</v>
      </c>
      <c r="N92" s="245">
        <v>128.69999999999999</v>
      </c>
      <c r="O92" s="245">
        <v>128.30000000000001</v>
      </c>
      <c r="P92" s="245">
        <v>129.6</v>
      </c>
      <c r="Q92" s="245">
        <v>130.1</v>
      </c>
      <c r="R92" s="245">
        <v>122.7</v>
      </c>
      <c r="S92" s="245">
        <v>128.9</v>
      </c>
      <c r="T92" s="245">
        <v>128.4</v>
      </c>
      <c r="U92" s="245">
        <v>128.4</v>
      </c>
      <c r="V92" s="245">
        <v>129</v>
      </c>
      <c r="W92" s="245">
        <v>129</v>
      </c>
      <c r="X92" s="245">
        <v>129</v>
      </c>
      <c r="Y92" s="245">
        <v>129</v>
      </c>
      <c r="Z92" s="245">
        <v>129</v>
      </c>
      <c r="AA92" s="245">
        <v>129</v>
      </c>
      <c r="AB92" s="245">
        <v>129.69999999999999</v>
      </c>
      <c r="AC92" s="245">
        <v>129.69999999999999</v>
      </c>
      <c r="AD92" s="245">
        <v>126.7</v>
      </c>
      <c r="AE92" s="245">
        <v>129</v>
      </c>
      <c r="AF92" s="245">
        <v>129</v>
      </c>
      <c r="AG92" s="272"/>
      <c r="AH92" s="226">
        <f t="shared" si="13"/>
        <v>131</v>
      </c>
      <c r="AI92" s="227">
        <f t="shared" si="15"/>
        <v>122.7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134.1</v>
      </c>
      <c r="C93" s="245">
        <v>134.1</v>
      </c>
      <c r="D93" s="245">
        <v>134.80000000000001</v>
      </c>
      <c r="E93" s="245">
        <v>132.9</v>
      </c>
      <c r="F93" s="245">
        <v>131.69999999999999</v>
      </c>
      <c r="G93" s="245">
        <v>134</v>
      </c>
      <c r="H93" s="245">
        <v>134.19999999999999</v>
      </c>
      <c r="I93" s="245">
        <v>133.80000000000001</v>
      </c>
      <c r="J93" s="245">
        <v>132.5</v>
      </c>
      <c r="K93" s="245">
        <v>132.5</v>
      </c>
      <c r="L93" s="245">
        <v>131.1</v>
      </c>
      <c r="M93" s="245">
        <v>131.9</v>
      </c>
      <c r="N93" s="245">
        <v>132.80000000000001</v>
      </c>
      <c r="O93" s="245">
        <v>132.30000000000001</v>
      </c>
      <c r="P93" s="245">
        <v>132.19999999999999</v>
      </c>
      <c r="Q93" s="245">
        <v>132.6</v>
      </c>
      <c r="R93" s="245">
        <v>132.6</v>
      </c>
      <c r="S93" s="245">
        <v>132.6</v>
      </c>
      <c r="T93" s="245">
        <v>132.6</v>
      </c>
      <c r="U93" s="245">
        <v>132.6</v>
      </c>
      <c r="V93" s="245">
        <v>132</v>
      </c>
      <c r="W93" s="245">
        <v>132</v>
      </c>
      <c r="X93" s="245">
        <v>132</v>
      </c>
      <c r="Y93" s="245">
        <v>132</v>
      </c>
      <c r="Z93" s="245">
        <v>132</v>
      </c>
      <c r="AA93" s="245">
        <v>132</v>
      </c>
      <c r="AB93" s="245">
        <v>131.69999999999999</v>
      </c>
      <c r="AC93" s="245">
        <v>131.69999999999999</v>
      </c>
      <c r="AD93" s="245">
        <v>130.6</v>
      </c>
      <c r="AE93" s="245">
        <v>133</v>
      </c>
      <c r="AF93" s="245">
        <v>133</v>
      </c>
      <c r="AG93" s="272"/>
      <c r="AH93" s="226">
        <f t="shared" si="13"/>
        <v>134.80000000000001</v>
      </c>
      <c r="AI93" s="227">
        <f t="shared" si="15"/>
        <v>130.6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134</v>
      </c>
      <c r="C94" s="274">
        <v>134</v>
      </c>
      <c r="D94" s="274">
        <v>134</v>
      </c>
      <c r="E94" s="274">
        <v>131.4</v>
      </c>
      <c r="F94" s="274">
        <v>131.1</v>
      </c>
      <c r="G94" s="274">
        <v>129</v>
      </c>
      <c r="H94" s="274">
        <v>132.80000000000001</v>
      </c>
      <c r="I94" s="274">
        <v>133.6</v>
      </c>
      <c r="J94" s="274">
        <v>129.9</v>
      </c>
      <c r="K94" s="274">
        <v>129.9</v>
      </c>
      <c r="L94" s="274">
        <v>132.30000000000001</v>
      </c>
      <c r="M94" s="274">
        <v>132.6</v>
      </c>
      <c r="N94" s="274">
        <v>134.69999999999999</v>
      </c>
      <c r="O94" s="274">
        <v>134</v>
      </c>
      <c r="P94" s="274">
        <v>132.4</v>
      </c>
      <c r="Q94" s="274">
        <v>135.30000000000001</v>
      </c>
      <c r="R94" s="274">
        <v>132.9</v>
      </c>
      <c r="S94" s="274">
        <v>131.19999999999999</v>
      </c>
      <c r="T94" s="274">
        <v>131.6</v>
      </c>
      <c r="U94" s="274">
        <v>131.6</v>
      </c>
      <c r="V94" s="274">
        <v>133</v>
      </c>
      <c r="W94" s="274">
        <v>133</v>
      </c>
      <c r="X94" s="274">
        <v>133</v>
      </c>
      <c r="Y94" s="274">
        <v>133</v>
      </c>
      <c r="Z94" s="274">
        <v>133</v>
      </c>
      <c r="AA94" s="274">
        <v>133</v>
      </c>
      <c r="AB94" s="274">
        <v>129.69999999999999</v>
      </c>
      <c r="AC94" s="274">
        <v>129.69999999999999</v>
      </c>
      <c r="AD94" s="274">
        <v>133.80000000000001</v>
      </c>
      <c r="AE94" s="274">
        <v>132</v>
      </c>
      <c r="AF94" s="274">
        <v>132</v>
      </c>
      <c r="AG94" s="275"/>
      <c r="AH94" s="226">
        <f t="shared" si="13"/>
        <v>135.30000000000001</v>
      </c>
      <c r="AI94" s="227">
        <f t="shared" si="15"/>
        <v>129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130</v>
      </c>
      <c r="C95" s="245">
        <v>130</v>
      </c>
      <c r="D95" s="245">
        <v>130</v>
      </c>
      <c r="E95" s="245">
        <v>127.7</v>
      </c>
      <c r="F95" s="245">
        <v>126.4</v>
      </c>
      <c r="G95" s="245">
        <v>126.3</v>
      </c>
      <c r="H95" s="245">
        <v>133.69999999999999</v>
      </c>
      <c r="I95" s="245">
        <v>135</v>
      </c>
      <c r="J95" s="245">
        <v>129.80000000000001</v>
      </c>
      <c r="K95" s="245">
        <v>129.80000000000001</v>
      </c>
      <c r="L95" s="245">
        <v>126.6</v>
      </c>
      <c r="M95" s="245">
        <v>128.6</v>
      </c>
      <c r="N95" s="245">
        <v>128.6</v>
      </c>
      <c r="O95" s="245">
        <v>130.69999999999999</v>
      </c>
      <c r="P95" s="245">
        <v>129.1</v>
      </c>
      <c r="Q95" s="245">
        <v>130</v>
      </c>
      <c r="R95" s="245">
        <v>126.1</v>
      </c>
      <c r="S95" s="245">
        <v>122.8</v>
      </c>
      <c r="T95" s="245">
        <v>127.3</v>
      </c>
      <c r="U95" s="245">
        <v>127.3</v>
      </c>
      <c r="V95" s="245">
        <v>31</v>
      </c>
      <c r="W95" s="245">
        <v>31</v>
      </c>
      <c r="X95" s="245">
        <v>31</v>
      </c>
      <c r="Y95" s="245">
        <v>31</v>
      </c>
      <c r="Z95" s="245">
        <v>31</v>
      </c>
      <c r="AA95" s="245">
        <v>31</v>
      </c>
      <c r="AB95" s="245">
        <v>124.9</v>
      </c>
      <c r="AC95" s="245">
        <v>124.9</v>
      </c>
      <c r="AD95" s="245">
        <v>130</v>
      </c>
      <c r="AE95" s="245">
        <v>128.6</v>
      </c>
      <c r="AF95" s="245">
        <v>128.6</v>
      </c>
      <c r="AG95" s="272"/>
      <c r="AH95" s="226">
        <f t="shared" si="13"/>
        <v>135</v>
      </c>
      <c r="AI95" s="227">
        <f t="shared" si="15"/>
        <v>31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65.900000000000006</v>
      </c>
      <c r="C96" s="276">
        <v>65.900000000000006</v>
      </c>
      <c r="D96" s="276">
        <v>66.5</v>
      </c>
      <c r="E96" s="276">
        <v>66.099999999999994</v>
      </c>
      <c r="F96" s="276">
        <v>66</v>
      </c>
      <c r="G96" s="276">
        <v>66</v>
      </c>
      <c r="H96" s="276">
        <v>66.099999999999994</v>
      </c>
      <c r="I96" s="276">
        <v>65.7</v>
      </c>
      <c r="J96" s="276">
        <v>64.5</v>
      </c>
      <c r="K96" s="276">
        <v>64.5</v>
      </c>
      <c r="L96" s="276">
        <v>64.2</v>
      </c>
      <c r="M96" s="276">
        <v>63.9</v>
      </c>
      <c r="N96" s="276">
        <v>64.3</v>
      </c>
      <c r="O96" s="276">
        <v>64.099999999999994</v>
      </c>
      <c r="P96" s="276">
        <v>63.3</v>
      </c>
      <c r="Q96" s="276">
        <v>63.5</v>
      </c>
      <c r="R96" s="276">
        <v>63.7</v>
      </c>
      <c r="S96" s="276">
        <v>63.3</v>
      </c>
      <c r="T96" s="276">
        <v>63.4</v>
      </c>
      <c r="U96" s="276">
        <v>63.4</v>
      </c>
      <c r="V96" s="276">
        <v>64.599999999999994</v>
      </c>
      <c r="W96" s="276">
        <v>64.599999999999994</v>
      </c>
      <c r="X96" s="276">
        <v>64.599999999999994</v>
      </c>
      <c r="Y96" s="276">
        <v>64.599999999999994</v>
      </c>
      <c r="Z96" s="276">
        <v>64.599999999999994</v>
      </c>
      <c r="AA96" s="276">
        <v>64.599999999999994</v>
      </c>
      <c r="AB96" s="276">
        <v>65</v>
      </c>
      <c r="AC96" s="276">
        <v>65</v>
      </c>
      <c r="AD96" s="276">
        <v>65</v>
      </c>
      <c r="AE96" s="276">
        <v>65</v>
      </c>
      <c r="AF96" s="276">
        <v>65</v>
      </c>
      <c r="AG96" s="277"/>
      <c r="AH96" s="226">
        <f t="shared" si="13"/>
        <v>66.5</v>
      </c>
      <c r="AI96" s="227">
        <f t="shared" si="15"/>
        <v>63.3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v>53.099999999999994</v>
      </c>
      <c r="C98" s="280">
        <f t="shared" ref="C98:AF98" si="22">SUM(C15,C18,C21:C22,C46,C48:C49,C51,C53,C99:C102,C124,C130,C136,C145,C147,C159,C166,C169:C170,C177,C179,C181,C185:C187,C189:C191,C196,C202:C203,C205:C207,C215,C220)</f>
        <v>29.040000000000031</v>
      </c>
      <c r="D98" s="280">
        <f t="shared" si="22"/>
        <v>43.34</v>
      </c>
      <c r="E98" s="280">
        <f t="shared" si="22"/>
        <v>30.540000000000006</v>
      </c>
      <c r="F98" s="280">
        <f t="shared" si="22"/>
        <v>29.639999999999979</v>
      </c>
      <c r="G98" s="280">
        <f t="shared" si="22"/>
        <v>48.239999999999995</v>
      </c>
      <c r="H98" s="280">
        <f t="shared" si="22"/>
        <v>61.839999999999975</v>
      </c>
      <c r="I98" s="280">
        <f t="shared" si="22"/>
        <v>83.140000000000015</v>
      </c>
      <c r="J98" s="280">
        <f t="shared" si="22"/>
        <v>118.54</v>
      </c>
      <c r="K98" s="280">
        <f t="shared" si="22"/>
        <v>149.74</v>
      </c>
      <c r="L98" s="280">
        <f t="shared" si="22"/>
        <v>163.84</v>
      </c>
      <c r="M98" s="280">
        <f t="shared" si="22"/>
        <v>171.23999999999995</v>
      </c>
      <c r="N98" s="280">
        <f t="shared" si="22"/>
        <v>187.04</v>
      </c>
      <c r="O98" s="280">
        <f t="shared" si="22"/>
        <v>185.24</v>
      </c>
      <c r="P98" s="280">
        <f t="shared" si="22"/>
        <v>182.73999999999998</v>
      </c>
      <c r="Q98" s="280">
        <f t="shared" si="22"/>
        <v>197.59999999999997</v>
      </c>
      <c r="R98" s="280">
        <f t="shared" si="22"/>
        <v>182.6</v>
      </c>
      <c r="S98" s="280">
        <f t="shared" si="22"/>
        <v>175.7</v>
      </c>
      <c r="T98" s="280">
        <f t="shared" si="22"/>
        <v>175.6</v>
      </c>
      <c r="U98" s="280">
        <f t="shared" si="22"/>
        <v>226.8</v>
      </c>
      <c r="V98" s="280">
        <f t="shared" si="22"/>
        <v>225.60000000000002</v>
      </c>
      <c r="W98" s="280">
        <f t="shared" si="22"/>
        <v>210.60000000000002</v>
      </c>
      <c r="X98" s="280">
        <f t="shared" si="22"/>
        <v>218.60000000000002</v>
      </c>
      <c r="Y98" s="280">
        <f t="shared" si="22"/>
        <v>284.60000000000002</v>
      </c>
      <c r="Z98" s="280">
        <f t="shared" si="22"/>
        <v>303.60000000000002</v>
      </c>
      <c r="AA98" s="280">
        <f t="shared" si="22"/>
        <v>291.60000000000002</v>
      </c>
      <c r="AB98" s="280">
        <f t="shared" si="22"/>
        <v>180.40000000000003</v>
      </c>
      <c r="AC98" s="280">
        <f t="shared" si="22"/>
        <v>173.6</v>
      </c>
      <c r="AD98" s="280">
        <f t="shared" si="22"/>
        <v>149.60000000000002</v>
      </c>
      <c r="AE98" s="280">
        <f t="shared" si="22"/>
        <v>83.699999999999989</v>
      </c>
      <c r="AF98" s="280">
        <f t="shared" si="22"/>
        <v>68.599999999999994</v>
      </c>
      <c r="AG98" s="281"/>
      <c r="AH98" s="226">
        <f>MAX(C98:AF98)</f>
        <v>303.60000000000002</v>
      </c>
      <c r="AI98" s="227">
        <f>MIN(C98:AF98)</f>
        <v>29.040000000000031</v>
      </c>
    </row>
    <row r="99" spans="1:37" x14ac:dyDescent="0.25">
      <c r="A99" s="268" t="s">
        <v>103</v>
      </c>
      <c r="B99" s="282">
        <v>10.1</v>
      </c>
      <c r="C99" s="282">
        <v>4.8</v>
      </c>
      <c r="D99" s="282">
        <v>4</v>
      </c>
      <c r="E99" s="282">
        <v>3.4</v>
      </c>
      <c r="F99" s="282">
        <v>3</v>
      </c>
      <c r="G99" s="282">
        <v>0</v>
      </c>
      <c r="H99" s="282">
        <v>3.2</v>
      </c>
      <c r="I99" s="282">
        <v>7.8</v>
      </c>
      <c r="J99" s="282">
        <v>14.1</v>
      </c>
      <c r="K99" s="282">
        <v>20</v>
      </c>
      <c r="L99" s="282">
        <v>24.7</v>
      </c>
      <c r="M99" s="282">
        <v>32</v>
      </c>
      <c r="N99" s="282">
        <v>25.1</v>
      </c>
      <c r="O99" s="282">
        <v>26</v>
      </c>
      <c r="P99" s="282">
        <v>26.3</v>
      </c>
      <c r="Q99" s="282">
        <v>21.7</v>
      </c>
      <c r="R99" s="282">
        <v>23.5</v>
      </c>
      <c r="S99" s="282">
        <v>25.2</v>
      </c>
      <c r="T99" s="282">
        <v>29.5</v>
      </c>
      <c r="U99" s="282">
        <f>48+29</f>
        <v>77</v>
      </c>
      <c r="V99" s="282">
        <f>49+31</f>
        <v>80</v>
      </c>
      <c r="W99" s="282">
        <f>49+31</f>
        <v>80</v>
      </c>
      <c r="X99" s="282">
        <v>77</v>
      </c>
      <c r="Y99" s="282">
        <v>75</v>
      </c>
      <c r="Z99" s="282">
        <v>50</v>
      </c>
      <c r="AA99" s="282">
        <v>57</v>
      </c>
      <c r="AB99" s="282">
        <v>21</v>
      </c>
      <c r="AC99" s="282">
        <v>22</v>
      </c>
      <c r="AD99" s="282">
        <v>23.3</v>
      </c>
      <c r="AE99" s="282">
        <v>25</v>
      </c>
      <c r="AF99" s="282">
        <v>25</v>
      </c>
      <c r="AG99" s="283">
        <v>75</v>
      </c>
      <c r="AH99" s="226">
        <f t="shared" ref="AH99:AH106" si="23">IF(ABS(MAX(C99:AF99))&gt;ABS(MIN(C99:AF99)),MAX(C99:AF99),MIN(C99:AF99))</f>
        <v>80</v>
      </c>
      <c r="AI99" s="284">
        <f t="shared" ref="AI99:AI106" si="24">INDEX($C$9:$AF$9,1,MATCH(AH99,C99:AF99,0))</f>
        <v>0.70833333333333304</v>
      </c>
    </row>
    <row r="100" spans="1:37" x14ac:dyDescent="0.25">
      <c r="A100" s="271" t="s">
        <v>104</v>
      </c>
      <c r="B100" s="285">
        <f>-60.3-65.1</f>
        <v>-125.39999999999999</v>
      </c>
      <c r="C100" s="285">
        <f>-60.3-65.1</f>
        <v>-125.39999999999999</v>
      </c>
      <c r="D100" s="285">
        <f>-49.5-52.8</f>
        <v>-102.3</v>
      </c>
      <c r="E100" s="285">
        <f>-54.3-57.2</f>
        <v>-111.5</v>
      </c>
      <c r="F100" s="285">
        <f>-55.2-58.1</f>
        <v>-113.30000000000001</v>
      </c>
      <c r="G100" s="285">
        <f>-46.4-49.2</f>
        <v>-95.6</v>
      </c>
      <c r="H100" s="285">
        <f>-41.7-44.3</f>
        <v>-86</v>
      </c>
      <c r="I100" s="285">
        <f>-35.5-37.6</f>
        <v>-73.099999999999994</v>
      </c>
      <c r="J100" s="285">
        <f>-31.1-34</f>
        <v>-65.099999999999994</v>
      </c>
      <c r="K100" s="285">
        <f>-42.6-45.9</f>
        <v>-88.5</v>
      </c>
      <c r="L100" s="285">
        <f>-46.2-49.3</f>
        <v>-95.5</v>
      </c>
      <c r="M100" s="285">
        <v>-97.2</v>
      </c>
      <c r="N100" s="285">
        <v>-95.7</v>
      </c>
      <c r="O100" s="285">
        <v>-88.4</v>
      </c>
      <c r="P100" s="285">
        <v>-97.8</v>
      </c>
      <c r="Q100" s="285">
        <v>-87.5</v>
      </c>
      <c r="R100" s="285">
        <v>-98.5</v>
      </c>
      <c r="S100" s="285">
        <v>-96</v>
      </c>
      <c r="T100" s="285">
        <v>-100.6</v>
      </c>
      <c r="U100" s="285">
        <v>-97</v>
      </c>
      <c r="V100" s="285">
        <f>-44-48</f>
        <v>-92</v>
      </c>
      <c r="W100" s="285">
        <f>-44-48</f>
        <v>-92</v>
      </c>
      <c r="X100" s="285">
        <v>-87</v>
      </c>
      <c r="Y100" s="285">
        <v>-38</v>
      </c>
      <c r="Z100" s="285">
        <v>-21</v>
      </c>
      <c r="AA100" s="285">
        <v>-40</v>
      </c>
      <c r="AB100" s="285">
        <f>-59.9-47.3</f>
        <v>-107.19999999999999</v>
      </c>
      <c r="AC100" s="285">
        <v>-112</v>
      </c>
      <c r="AD100" s="285">
        <v>-120</v>
      </c>
      <c r="AE100" s="285">
        <v>-140</v>
      </c>
      <c r="AF100" s="285">
        <v>-140</v>
      </c>
      <c r="AG100" s="283">
        <v>240</v>
      </c>
      <c r="AH100" s="226">
        <f t="shared" si="23"/>
        <v>-140</v>
      </c>
      <c r="AI100" s="284">
        <f t="shared" si="24"/>
        <v>0.91666666666666696</v>
      </c>
    </row>
    <row r="101" spans="1:37" x14ac:dyDescent="0.25">
      <c r="A101" s="271" t="s">
        <v>105</v>
      </c>
      <c r="B101" s="285">
        <v>-5.6</v>
      </c>
      <c r="C101" s="285">
        <v>-5.6</v>
      </c>
      <c r="D101" s="285">
        <v>-2.7</v>
      </c>
      <c r="E101" s="285">
        <v>-5.3</v>
      </c>
      <c r="F101" s="285">
        <v>-4.7</v>
      </c>
      <c r="G101" s="285">
        <v>-0.8</v>
      </c>
      <c r="H101" s="285">
        <v>0</v>
      </c>
      <c r="I101" s="285">
        <v>4</v>
      </c>
      <c r="J101" s="285">
        <v>6.2</v>
      </c>
      <c r="K101" s="285">
        <v>8.9</v>
      </c>
      <c r="L101" s="285">
        <v>7.7</v>
      </c>
      <c r="M101" s="285">
        <v>2.6</v>
      </c>
      <c r="N101" s="285">
        <v>7.1</v>
      </c>
      <c r="O101" s="285">
        <v>11</v>
      </c>
      <c r="P101" s="285">
        <v>4.0999999999999996</v>
      </c>
      <c r="Q101" s="285">
        <v>5.4</v>
      </c>
      <c r="R101" s="285">
        <v>4.0999999999999996</v>
      </c>
      <c r="S101" s="285">
        <v>1.3</v>
      </c>
      <c r="T101" s="285">
        <v>0.6</v>
      </c>
      <c r="U101" s="285">
        <v>2.2000000000000002</v>
      </c>
      <c r="V101" s="285">
        <v>3</v>
      </c>
      <c r="W101" s="285">
        <v>3</v>
      </c>
      <c r="X101" s="285">
        <v>6</v>
      </c>
      <c r="Y101" s="285">
        <v>31</v>
      </c>
      <c r="Z101" s="285">
        <v>50</v>
      </c>
      <c r="AA101" s="285">
        <v>50</v>
      </c>
      <c r="AB101" s="285">
        <v>21.3</v>
      </c>
      <c r="AC101" s="285">
        <v>20</v>
      </c>
      <c r="AD101" s="285">
        <v>9</v>
      </c>
      <c r="AE101" s="285">
        <v>-2.9</v>
      </c>
      <c r="AF101" s="285">
        <v>-3</v>
      </c>
      <c r="AG101" s="283">
        <v>60</v>
      </c>
      <c r="AH101" s="226">
        <f t="shared" si="23"/>
        <v>50</v>
      </c>
      <c r="AI101" s="284">
        <f t="shared" si="24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45</v>
      </c>
      <c r="L102" s="287">
        <v>45.6</v>
      </c>
      <c r="M102" s="287">
        <v>37.799999999999997</v>
      </c>
      <c r="N102" s="287">
        <v>49.5</v>
      </c>
      <c r="O102" s="287">
        <v>49.7</v>
      </c>
      <c r="P102" s="287">
        <v>46</v>
      </c>
      <c r="Q102" s="287">
        <v>54.8</v>
      </c>
      <c r="R102" s="287">
        <v>51.9</v>
      </c>
      <c r="S102" s="287">
        <v>43.6</v>
      </c>
      <c r="T102" s="287">
        <v>44.5</v>
      </c>
      <c r="U102" s="287">
        <v>43</v>
      </c>
      <c r="V102" s="287">
        <v>33</v>
      </c>
      <c r="W102" s="287">
        <v>33</v>
      </c>
      <c r="X102" s="287">
        <v>36</v>
      </c>
      <c r="Y102" s="287">
        <v>15</v>
      </c>
      <c r="Z102" s="287">
        <v>23</v>
      </c>
      <c r="AA102" s="287">
        <v>23</v>
      </c>
      <c r="AB102" s="287">
        <v>43.7</v>
      </c>
      <c r="AC102" s="287">
        <v>42</v>
      </c>
      <c r="AD102" s="287">
        <v>35.700000000000003</v>
      </c>
      <c r="AE102" s="287">
        <v>0</v>
      </c>
      <c r="AF102" s="287">
        <v>0</v>
      </c>
      <c r="AG102" s="288">
        <v>120</v>
      </c>
      <c r="AH102" s="226">
        <f t="shared" si="23"/>
        <v>54.8</v>
      </c>
      <c r="AI102" s="284">
        <f t="shared" si="24"/>
        <v>0.5</v>
      </c>
    </row>
    <row r="103" spans="1:37" x14ac:dyDescent="0.25">
      <c r="A103" s="286" t="s">
        <v>107</v>
      </c>
      <c r="B103" s="287">
        <v>32.299999999999997</v>
      </c>
      <c r="C103" s="287">
        <v>32.299999999999997</v>
      </c>
      <c r="D103" s="287">
        <v>32.299999999999997</v>
      </c>
      <c r="E103" s="287">
        <v>40.299999999999997</v>
      </c>
      <c r="F103" s="287">
        <v>34.1</v>
      </c>
      <c r="G103" s="287">
        <v>49.4</v>
      </c>
      <c r="H103" s="287">
        <v>45.4</v>
      </c>
      <c r="I103" s="287">
        <v>45.6</v>
      </c>
      <c r="J103" s="287">
        <v>65</v>
      </c>
      <c r="K103" s="287">
        <v>39.6</v>
      </c>
      <c r="L103" s="287">
        <v>43.8</v>
      </c>
      <c r="M103" s="287">
        <v>34.799999999999997</v>
      </c>
      <c r="N103" s="287">
        <v>48.7</v>
      </c>
      <c r="O103" s="287">
        <v>45.9</v>
      </c>
      <c r="P103" s="287">
        <v>48.4</v>
      </c>
      <c r="Q103" s="287">
        <v>47.3</v>
      </c>
      <c r="R103" s="287">
        <v>49.3</v>
      </c>
      <c r="S103" s="287">
        <v>45.2</v>
      </c>
      <c r="T103" s="287">
        <v>47.2</v>
      </c>
      <c r="U103" s="287">
        <v>48</v>
      </c>
      <c r="V103" s="287">
        <v>32</v>
      </c>
      <c r="W103" s="287">
        <v>32</v>
      </c>
      <c r="X103" s="287">
        <v>34</v>
      </c>
      <c r="Y103" s="287">
        <v>73</v>
      </c>
      <c r="Z103" s="287">
        <v>84</v>
      </c>
      <c r="AA103" s="287">
        <v>84</v>
      </c>
      <c r="AB103" s="287">
        <v>41.8</v>
      </c>
      <c r="AC103" s="287">
        <v>42</v>
      </c>
      <c r="AD103" s="287">
        <v>40</v>
      </c>
      <c r="AE103" s="287">
        <v>37</v>
      </c>
      <c r="AF103" s="287">
        <v>38</v>
      </c>
      <c r="AG103" s="288"/>
      <c r="AH103" s="226">
        <f t="shared" si="23"/>
        <v>84</v>
      </c>
      <c r="AI103" s="284">
        <f t="shared" si="24"/>
        <v>0.79166666666666663</v>
      </c>
    </row>
    <row r="104" spans="1:37" x14ac:dyDescent="0.25">
      <c r="A104" s="286" t="s">
        <v>108</v>
      </c>
      <c r="B104" s="287">
        <v>-55</v>
      </c>
      <c r="C104" s="287">
        <v>-55</v>
      </c>
      <c r="D104" s="287">
        <v>-76.5</v>
      </c>
      <c r="E104" s="287">
        <v>63.9</v>
      </c>
      <c r="F104" s="287">
        <v>70.099999999999994</v>
      </c>
      <c r="G104" s="287">
        <v>85.6</v>
      </c>
      <c r="H104" s="287">
        <v>52.1</v>
      </c>
      <c r="I104" s="287">
        <v>40</v>
      </c>
      <c r="J104" s="287">
        <v>59</v>
      </c>
      <c r="K104" s="287">
        <v>33.799999999999997</v>
      </c>
      <c r="L104" s="287">
        <v>23.8</v>
      </c>
      <c r="M104" s="287">
        <v>10.6</v>
      </c>
      <c r="N104" s="287">
        <v>41.7</v>
      </c>
      <c r="O104" s="287">
        <v>18.399999999999999</v>
      </c>
      <c r="P104" s="287">
        <v>36.9</v>
      </c>
      <c r="Q104" s="287">
        <v>48.4</v>
      </c>
      <c r="R104" s="287">
        <v>52.7</v>
      </c>
      <c r="S104" s="287">
        <v>40.6</v>
      </c>
      <c r="T104" s="287">
        <v>22.9</v>
      </c>
      <c r="U104" s="287">
        <v>20</v>
      </c>
      <c r="V104" s="287">
        <v>0</v>
      </c>
      <c r="W104" s="287">
        <v>0</v>
      </c>
      <c r="X104" s="287">
        <v>0</v>
      </c>
      <c r="Y104" s="287">
        <v>35</v>
      </c>
      <c r="Z104" s="287">
        <v>72</v>
      </c>
      <c r="AA104" s="287">
        <v>72</v>
      </c>
      <c r="AB104" s="287">
        <v>-44</v>
      </c>
      <c r="AC104" s="287">
        <v>56</v>
      </c>
      <c r="AD104" s="287">
        <v>51.3</v>
      </c>
      <c r="AE104" s="287">
        <v>39</v>
      </c>
      <c r="AF104" s="287">
        <v>42</v>
      </c>
      <c r="AG104" s="289"/>
      <c r="AH104" s="226">
        <f t="shared" si="23"/>
        <v>85.6</v>
      </c>
      <c r="AI104" s="284">
        <f t="shared" si="24"/>
        <v>0.20833333333333301</v>
      </c>
    </row>
    <row r="105" spans="1:37" x14ac:dyDescent="0.25">
      <c r="A105" s="290" t="s">
        <v>109</v>
      </c>
      <c r="B105" s="274">
        <v>124</v>
      </c>
      <c r="C105" s="274">
        <v>125</v>
      </c>
      <c r="D105" s="274">
        <v>125.8</v>
      </c>
      <c r="E105" s="274">
        <v>126.6</v>
      </c>
      <c r="F105" s="274">
        <v>114.3</v>
      </c>
      <c r="G105" s="274">
        <v>122</v>
      </c>
      <c r="H105" s="274">
        <v>121.4</v>
      </c>
      <c r="I105" s="274">
        <v>115</v>
      </c>
      <c r="J105" s="274">
        <v>119.8</v>
      </c>
      <c r="K105" s="274">
        <v>115.9</v>
      </c>
      <c r="L105" s="274">
        <v>113.7</v>
      </c>
      <c r="M105" s="274">
        <v>112.2</v>
      </c>
      <c r="N105" s="274">
        <v>113.7</v>
      </c>
      <c r="O105" s="274">
        <v>112.1</v>
      </c>
      <c r="P105" s="274">
        <v>108</v>
      </c>
      <c r="Q105" s="274">
        <v>97.7</v>
      </c>
      <c r="R105" s="274">
        <v>114.5</v>
      </c>
      <c r="S105" s="274">
        <v>110.5</v>
      </c>
      <c r="T105" s="274">
        <v>108.8</v>
      </c>
      <c r="U105" s="274">
        <v>108</v>
      </c>
      <c r="V105" s="274">
        <v>104</v>
      </c>
      <c r="W105" s="274">
        <v>104</v>
      </c>
      <c r="X105" s="274">
        <v>89</v>
      </c>
      <c r="Y105" s="274">
        <v>68</v>
      </c>
      <c r="Z105" s="274">
        <v>80</v>
      </c>
      <c r="AA105" s="274">
        <v>80</v>
      </c>
      <c r="AB105" s="274">
        <v>104.2</v>
      </c>
      <c r="AC105" s="274">
        <v>104</v>
      </c>
      <c r="AD105" s="274">
        <v>105</v>
      </c>
      <c r="AE105" s="274">
        <v>110</v>
      </c>
      <c r="AF105" s="274">
        <v>114</v>
      </c>
      <c r="AG105" s="289"/>
      <c r="AH105" s="226">
        <f t="shared" si="23"/>
        <v>126.6</v>
      </c>
      <c r="AI105" s="284">
        <f t="shared" si="24"/>
        <v>0.125</v>
      </c>
    </row>
    <row r="106" spans="1:37" ht="15.75" thickBot="1" x14ac:dyDescent="0.3">
      <c r="A106" s="290" t="s">
        <v>110</v>
      </c>
      <c r="B106" s="274">
        <v>75</v>
      </c>
      <c r="C106" s="274">
        <v>75</v>
      </c>
      <c r="D106" s="274">
        <v>59.1</v>
      </c>
      <c r="E106" s="274">
        <v>68.3</v>
      </c>
      <c r="F106" s="274">
        <v>68.5</v>
      </c>
      <c r="G106" s="274">
        <v>52.7</v>
      </c>
      <c r="H106" s="274">
        <v>47.8</v>
      </c>
      <c r="I106" s="274">
        <v>49.4</v>
      </c>
      <c r="J106" s="274">
        <v>36.299999999999997</v>
      </c>
      <c r="K106" s="274">
        <v>56.2</v>
      </c>
      <c r="L106" s="274">
        <v>63.4</v>
      </c>
      <c r="M106" s="274">
        <v>66.599999999999994</v>
      </c>
      <c r="N106" s="274">
        <v>61.3</v>
      </c>
      <c r="O106" s="274">
        <v>58.7</v>
      </c>
      <c r="P106" s="274">
        <v>60.8</v>
      </c>
      <c r="Q106" s="274">
        <v>53</v>
      </c>
      <c r="R106" s="274">
        <v>53.2</v>
      </c>
      <c r="S106" s="274">
        <v>53.9</v>
      </c>
      <c r="T106" s="274">
        <v>58.3</v>
      </c>
      <c r="U106" s="274">
        <v>68</v>
      </c>
      <c r="V106" s="274">
        <v>59</v>
      </c>
      <c r="W106" s="274">
        <v>59</v>
      </c>
      <c r="X106" s="274">
        <v>54</v>
      </c>
      <c r="Y106" s="274">
        <v>32</v>
      </c>
      <c r="Z106" s="274">
        <v>34</v>
      </c>
      <c r="AA106" s="274">
        <v>44</v>
      </c>
      <c r="AB106" s="274">
        <v>64.900000000000006</v>
      </c>
      <c r="AC106" s="274">
        <v>67</v>
      </c>
      <c r="AD106" s="274">
        <v>71.599999999999994</v>
      </c>
      <c r="AE106" s="274">
        <v>84</v>
      </c>
      <c r="AF106" s="274">
        <v>94</v>
      </c>
      <c r="AG106" s="289"/>
      <c r="AH106" s="226">
        <f t="shared" si="23"/>
        <v>94</v>
      </c>
      <c r="AI106" s="284">
        <f t="shared" si="24"/>
        <v>0.95833333333333304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1768.54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19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2079/02/19)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2079/02/19)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1745.04</v>
      </c>
      <c r="U235" s="343">
        <f t="shared" si="31"/>
        <v>1665.1399999999999</v>
      </c>
      <c r="V235" s="343">
        <f t="shared" si="31"/>
        <v>1613.2399999999998</v>
      </c>
      <c r="W235" s="343">
        <f t="shared" si="31"/>
        <v>1587.7399999999998</v>
      </c>
      <c r="X235" s="343">
        <f t="shared" si="31"/>
        <v>1580.54</v>
      </c>
      <c r="Y235" s="343">
        <f t="shared" si="31"/>
        <v>1571.6399999999999</v>
      </c>
      <c r="Z235" s="343">
        <f t="shared" si="31"/>
        <v>1571.84</v>
      </c>
      <c r="AA235" s="343">
        <f t="shared" si="31"/>
        <v>1571.1399999999999</v>
      </c>
      <c r="AB235" s="343">
        <f t="shared" si="31"/>
        <v>1625.1399999999999</v>
      </c>
      <c r="AC235" s="343">
        <f t="shared" si="31"/>
        <v>1657.54</v>
      </c>
      <c r="AD235" s="343">
        <f t="shared" si="31"/>
        <v>1711.94</v>
      </c>
      <c r="AE235" s="343">
        <f t="shared" si="31"/>
        <v>1763.1399999999999</v>
      </c>
      <c r="AF235" s="343">
        <f t="shared" si="31"/>
        <v>1768.54</v>
      </c>
      <c r="AG235" s="343">
        <f t="shared" si="31"/>
        <v>1745.74</v>
      </c>
      <c r="AH235" s="343">
        <f t="shared" si="31"/>
        <v>1771.44</v>
      </c>
      <c r="AI235" s="343">
        <f t="shared" si="31"/>
        <v>1776.3400000000001</v>
      </c>
      <c r="AJ235" s="343">
        <f t="shared" si="31"/>
        <v>1776.74</v>
      </c>
      <c r="AK235" s="343">
        <f t="shared" si="31"/>
        <v>1778.24</v>
      </c>
      <c r="AL235" s="343">
        <f t="shared" si="31"/>
        <v>1778.6399999999999</v>
      </c>
      <c r="AM235" s="343">
        <f t="shared" si="31"/>
        <v>1775.6399999999999</v>
      </c>
      <c r="AN235" s="343">
        <f t="shared" si="31"/>
        <v>1770.6399999999999</v>
      </c>
      <c r="AO235" s="343">
        <f t="shared" si="31"/>
        <v>1755.6399999999999</v>
      </c>
      <c r="AP235" s="343">
        <f t="shared" si="31"/>
        <v>1755.6399999999999</v>
      </c>
      <c r="AQ235" s="343">
        <f t="shared" si="31"/>
        <v>1816.6399999999999</v>
      </c>
      <c r="AR235" s="343">
        <f t="shared" si="31"/>
        <v>1877.6399999999999</v>
      </c>
      <c r="AS235" s="343">
        <f t="shared" si="31"/>
        <v>1889.54</v>
      </c>
      <c r="AT235" s="343">
        <f t="shared" si="31"/>
        <v>1840.1399999999999</v>
      </c>
      <c r="AU235" s="343">
        <f t="shared" si="31"/>
        <v>1844.54</v>
      </c>
      <c r="AV235" s="343">
        <f t="shared" si="31"/>
        <v>1810.84</v>
      </c>
      <c r="AW235" s="343">
        <f t="shared" si="31"/>
        <v>1778.54</v>
      </c>
      <c r="AX235" s="343">
        <f t="shared" si="31"/>
        <v>1763.54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T11:AF11 E99:AF105">
    <cfRule type="expression" dxfId="3907" priority="233">
      <formula>B$9&gt;=20/24</formula>
    </cfRule>
    <cfRule type="expression" dxfId="3906" priority="234">
      <formula>AND(B$9&gt;=14/24,B$9&lt;20/24)</formula>
    </cfRule>
    <cfRule type="expression" dxfId="3905" priority="235">
      <formula>AND(B$9&gt;=8/24,B$9&lt;14/24)</formula>
    </cfRule>
    <cfRule type="expression" dxfId="3904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903" priority="228">
      <formula>S$9&gt;=20/24</formula>
    </cfRule>
    <cfRule type="expression" dxfId="3902" priority="229">
      <formula>AND(S$9&gt;=14/24,S$9&lt;20/24)</formula>
    </cfRule>
    <cfRule type="expression" dxfId="3901" priority="230">
      <formula>AND(S$9&gt;=8/24,S$9&lt;14/24)</formula>
    </cfRule>
    <cfRule type="expression" dxfId="3900" priority="231">
      <formula>S$9&lt;8/24</formula>
    </cfRule>
  </conditionalFormatting>
  <conditionalFormatting sqref="AG55 B12:L16 M11:R11 M16:R16 S11:AF16 S37:AF37 B35:AF35">
    <cfRule type="expression" dxfId="3899" priority="227">
      <formula>B11&gt;$AG11</formula>
    </cfRule>
  </conditionalFormatting>
  <conditionalFormatting sqref="A89:A102 A11:A14 A49:A76 A85:A87 A191:A221 A16:A30 A36:A47 A107:A178 A32:A33 A81:A83 A78:A79">
    <cfRule type="expression" dxfId="3898" priority="226">
      <formula>$AH11=0</formula>
    </cfRule>
  </conditionalFormatting>
  <conditionalFormatting sqref="A103">
    <cfRule type="expression" dxfId="3897" priority="225">
      <formula>$AH103=0</formula>
    </cfRule>
  </conditionalFormatting>
  <conditionalFormatting sqref="AL3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896" priority="223">
      <formula>$AH35=0</formula>
    </cfRule>
  </conditionalFormatting>
  <conditionalFormatting sqref="A88">
    <cfRule type="expression" dxfId="3895" priority="222">
      <formula>$AH88=0</formula>
    </cfRule>
  </conditionalFormatting>
  <conditionalFormatting sqref="A15">
    <cfRule type="expression" dxfId="3894" priority="221">
      <formula>$AH15=0</formula>
    </cfRule>
  </conditionalFormatting>
  <conditionalFormatting sqref="A185:A190">
    <cfRule type="expression" dxfId="3893" priority="220">
      <formula>$AH185=0</formula>
    </cfRule>
  </conditionalFormatting>
  <conditionalFormatting sqref="A179:A184">
    <cfRule type="expression" dxfId="3892" priority="219">
      <formula>$AH179=0</formula>
    </cfRule>
  </conditionalFormatting>
  <conditionalFormatting sqref="A48">
    <cfRule type="expression" dxfId="3891" priority="218">
      <formula>$AH48=0</formula>
    </cfRule>
  </conditionalFormatting>
  <conditionalFormatting sqref="A84">
    <cfRule type="expression" dxfId="3890" priority="217">
      <formula>$AH84=0</formula>
    </cfRule>
  </conditionalFormatting>
  <conditionalFormatting sqref="E89:AF89">
    <cfRule type="expression" dxfId="3889" priority="213">
      <formula>E$9&gt;=20/24</formula>
    </cfRule>
    <cfRule type="expression" dxfId="3888" priority="214">
      <formula>AND(E$9&gt;=14/24,E$9&lt;20/24)</formula>
    </cfRule>
    <cfRule type="expression" dxfId="3887" priority="215">
      <formula>AND(E$9&gt;=8/24,E$9&lt;14/24)</formula>
    </cfRule>
    <cfRule type="expression" dxfId="3886" priority="216">
      <formula>E$9&lt;8/24</formula>
    </cfRule>
  </conditionalFormatting>
  <conditionalFormatting sqref="AL34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85" priority="239">
      <formula>C$9&gt;=20/24</formula>
    </cfRule>
    <cfRule type="expression" dxfId="3884" priority="240">
      <formula>AND(C$9&gt;=14/24,C$9&lt;20/24)</formula>
    </cfRule>
    <cfRule type="expression" dxfId="3883" priority="241">
      <formula>AND(C$9&gt;=8/24,C$9&lt;14/24)</formula>
    </cfRule>
    <cfRule type="expression" dxfId="3882" priority="242">
      <formula>C$9&lt;8/24</formula>
    </cfRule>
  </conditionalFormatting>
  <conditionalFormatting sqref="A222">
    <cfRule type="expression" dxfId="3881" priority="243">
      <formula>$AH222=0</formula>
    </cfRule>
  </conditionalFormatting>
  <conditionalFormatting sqref="AG234">
    <cfRule type="expression" dxfId="3880" priority="244">
      <formula>B$9&gt;=20/24</formula>
    </cfRule>
    <cfRule type="expression" dxfId="3879" priority="245">
      <formula>AND(B$9&gt;=14/24,B$9&lt;20/24)</formula>
    </cfRule>
    <cfRule type="expression" dxfId="3878" priority="246">
      <formula>AND(B$9&gt;=8/24,B$9&lt;14/24)</formula>
    </cfRule>
    <cfRule type="expression" dxfId="3877" priority="247">
      <formula>B$9&lt;8/24</formula>
    </cfRule>
  </conditionalFormatting>
  <conditionalFormatting sqref="S8">
    <cfRule type="expression" dxfId="3876" priority="208">
      <formula>U$9&gt;=20/24</formula>
    </cfRule>
    <cfRule type="expression" dxfId="3875" priority="209">
      <formula>AND(U$9&gt;=14/24,U$9&lt;20/24)</formula>
    </cfRule>
    <cfRule type="expression" dxfId="3874" priority="210">
      <formula>AND(U$9&gt;=8/24,U$9&lt;14/24)</formula>
    </cfRule>
    <cfRule type="expression" dxfId="3873" priority="211">
      <formula>U$9&lt;8/24</formula>
    </cfRule>
  </conditionalFormatting>
  <conditionalFormatting sqref="AB8">
    <cfRule type="expression" dxfId="3872" priority="204">
      <formula>AD$9&gt;=20/24</formula>
    </cfRule>
    <cfRule type="expression" dxfId="3871" priority="205">
      <formula>AND(AD$9&gt;=14/24,AD$9&lt;20/24)</formula>
    </cfRule>
    <cfRule type="expression" dxfId="3870" priority="206">
      <formula>AND(AD$9&gt;=8/24,AD$9&lt;14/24)</formula>
    </cfRule>
    <cfRule type="expression" dxfId="3869" priority="207">
      <formula>AD$9&lt;8/24</formula>
    </cfRule>
  </conditionalFormatting>
  <conditionalFormatting sqref="AH234:AX234">
    <cfRule type="expression" dxfId="3868" priority="248">
      <formula>AG$9&gt;=20/24</formula>
    </cfRule>
    <cfRule type="expression" dxfId="3867" priority="249">
      <formula>AND(AG$9&gt;=14/24,AG$9&lt;20/24)</formula>
    </cfRule>
    <cfRule type="expression" dxfId="3866" priority="250">
      <formula>AND(AG$9&gt;=8/24,AG$9&lt;14/24)</formula>
    </cfRule>
    <cfRule type="expression" dxfId="3865" priority="251">
      <formula>AG$9&lt;8/24</formula>
    </cfRule>
  </conditionalFormatting>
  <conditionalFormatting sqref="T234">
    <cfRule type="expression" dxfId="3864" priority="252">
      <formula>AX$9&gt;=20/24</formula>
    </cfRule>
    <cfRule type="expression" dxfId="3863" priority="253">
      <formula>AND(AX$9&gt;=14/24,AX$9&lt;20/24)</formula>
    </cfRule>
    <cfRule type="expression" dxfId="3862" priority="254">
      <formula>AND(AX$9&gt;=8/24,AX$9&lt;14/24)</formula>
    </cfRule>
    <cfRule type="expression" dxfId="3861" priority="255">
      <formula>AX$9&lt;8/24</formula>
    </cfRule>
  </conditionalFormatting>
  <conditionalFormatting sqref="A104:A105">
    <cfRule type="expression" dxfId="3860" priority="203">
      <formula>$AH104=0</formula>
    </cfRule>
  </conditionalFormatting>
  <conditionalFormatting sqref="E44:L45 E61:AF61 S44:AF45">
    <cfRule type="expression" dxfId="3859" priority="199">
      <formula>E$9&gt;=20/24</formula>
    </cfRule>
    <cfRule type="expression" dxfId="3858" priority="200">
      <formula>AND(E$9&gt;=14/24,E$9&lt;20/24)</formula>
    </cfRule>
    <cfRule type="expression" dxfId="3857" priority="201">
      <formula>AND(E$9&gt;=8/24,E$9&lt;14/24)</formula>
    </cfRule>
    <cfRule type="expression" dxfId="3856" priority="202">
      <formula>E$9&lt;8/24</formula>
    </cfRule>
  </conditionalFormatting>
  <conditionalFormatting sqref="E43:L43 S43:AF43">
    <cfRule type="expression" dxfId="3855" priority="195">
      <formula>E$9&gt;=20/24</formula>
    </cfRule>
    <cfRule type="expression" dxfId="3854" priority="196">
      <formula>AND(E$9&gt;=14/24,E$9&lt;20/24)</formula>
    </cfRule>
    <cfRule type="expression" dxfId="3853" priority="197">
      <formula>AND(E$9&gt;=8/24,E$9&lt;14/24)</formula>
    </cfRule>
    <cfRule type="expression" dxfId="3852" priority="198">
      <formula>E$9&lt;8/24</formula>
    </cfRule>
  </conditionalFormatting>
  <conditionalFormatting sqref="E43:L45 S43:AF45">
    <cfRule type="expression" dxfId="3851" priority="194">
      <formula>E43&gt;$AG43</formula>
    </cfRule>
  </conditionalFormatting>
  <conditionalFormatting sqref="C86:AF86 E62:T63 M37:R37 S64:T71 O29:R29 M11:R14 M24:R24 F64:R66 S12:AF14 M16:AF16 S36:AF36 S24:AF26 S28:AF32 M18:AF22 F57:AF59 U62:AF71 C73:AF76 E90:AF96">
    <cfRule type="expression" dxfId="3850" priority="190">
      <formula>C$9&gt;=20/24</formula>
    </cfRule>
    <cfRule type="expression" dxfId="3849" priority="191">
      <formula>AND(C$9&gt;=14/24,C$9&lt;20/24)</formula>
    </cfRule>
    <cfRule type="expression" dxfId="3848" priority="192">
      <formula>AND(C$9&gt;=8/24,C$9&lt;14/24)</formula>
    </cfRule>
    <cfRule type="expression" dxfId="3847" priority="193">
      <formula>C$9&lt;8/24</formula>
    </cfRule>
  </conditionalFormatting>
  <conditionalFormatting sqref="S33:AF33">
    <cfRule type="expression" dxfId="3846" priority="186">
      <formula>S$9&gt;=20/24</formula>
    </cfRule>
    <cfRule type="expression" dxfId="3845" priority="187">
      <formula>AND(S$9&gt;=14/24,S$9&lt;20/24)</formula>
    </cfRule>
    <cfRule type="expression" dxfId="3844" priority="188">
      <formula>AND(S$9&gt;=8/24,S$9&lt;14/24)</formula>
    </cfRule>
    <cfRule type="expression" dxfId="3843" priority="189">
      <formula>S$9&lt;8/24</formula>
    </cfRule>
  </conditionalFormatting>
  <conditionalFormatting sqref="C55:AF55 E37:R37 E46:L47 O29:R29 M11:R15 M24:R24 S36:AF36 S24:AF33 M18:AF22 F57:AF59">
    <cfRule type="expression" dxfId="3842" priority="185">
      <formula>C11&gt;$AG11</formula>
    </cfRule>
  </conditionalFormatting>
  <conditionalFormatting sqref="S35:AF35">
    <cfRule type="expression" dxfId="3841" priority="181">
      <formula>S$9&gt;=20/24</formula>
    </cfRule>
    <cfRule type="expression" dxfId="3840" priority="182">
      <formula>AND(S$9&gt;=14/24,S$9&lt;20/24)</formula>
    </cfRule>
    <cfRule type="expression" dxfId="3839" priority="183">
      <formula>AND(S$9&gt;=8/24,S$9&lt;14/24)</formula>
    </cfRule>
    <cfRule type="expression" dxfId="3838" priority="184">
      <formula>S$9&lt;8/24</formula>
    </cfRule>
  </conditionalFormatting>
  <conditionalFormatting sqref="M15:AF15">
    <cfRule type="expression" dxfId="3837" priority="177">
      <formula>M$9&gt;=20/24</formula>
    </cfRule>
    <cfRule type="expression" dxfId="3836" priority="178">
      <formula>AND(M$9&gt;=14/24,M$9&lt;20/24)</formula>
    </cfRule>
    <cfRule type="expression" dxfId="3835" priority="179">
      <formula>AND(M$9&gt;=8/24,M$9&lt;14/24)</formula>
    </cfRule>
    <cfRule type="expression" dxfId="3834" priority="180">
      <formula>M$9&lt;8/24</formula>
    </cfRule>
  </conditionalFormatting>
  <conditionalFormatting sqref="S34:AF34">
    <cfRule type="expression" dxfId="3833" priority="173">
      <formula>S$9&gt;=20/24</formula>
    </cfRule>
    <cfRule type="expression" dxfId="3832" priority="174">
      <formula>AND(S$9&gt;=14/24,S$9&lt;20/24)</formula>
    </cfRule>
    <cfRule type="expression" dxfId="3831" priority="175">
      <formula>AND(S$9&gt;=8/24,S$9&lt;14/24)</formula>
    </cfRule>
    <cfRule type="expression" dxfId="3830" priority="176">
      <formula>S$9&lt;8/24</formula>
    </cfRule>
  </conditionalFormatting>
  <conditionalFormatting sqref="S34:AF34">
    <cfRule type="expression" dxfId="3829" priority="172">
      <formula>S34&gt;$AG34</formula>
    </cfRule>
  </conditionalFormatting>
  <conditionalFormatting sqref="S11">
    <cfRule type="expression" dxfId="3828" priority="168">
      <formula>S$9&gt;=20/24</formula>
    </cfRule>
    <cfRule type="expression" dxfId="3827" priority="169">
      <formula>AND(S$9&gt;=14/24,S$9&lt;20/24)</formula>
    </cfRule>
    <cfRule type="expression" dxfId="3826" priority="170">
      <formula>AND(S$9&gt;=8/24,S$9&lt;14/24)</formula>
    </cfRule>
    <cfRule type="expression" dxfId="3825" priority="171">
      <formula>S$9&lt;8/24</formula>
    </cfRule>
  </conditionalFormatting>
  <conditionalFormatting sqref="M43:R47 N48:P48 O49:P54 Q48:R54 S46:AF54">
    <cfRule type="expression" dxfId="3824" priority="159">
      <formula>M$9&gt;=20/24</formula>
    </cfRule>
    <cfRule type="expression" dxfId="3823" priority="160">
      <formula>AND(M$9&gt;=14/24,M$9&lt;20/24)</formula>
    </cfRule>
    <cfRule type="expression" dxfId="3822" priority="161">
      <formula>AND(M$9&gt;=8/24,M$9&lt;14/24)</formula>
    </cfRule>
    <cfRule type="expression" dxfId="3821" priority="162">
      <formula>M$9&lt;8/24</formula>
    </cfRule>
  </conditionalFormatting>
  <conditionalFormatting sqref="M43:R47 N48:P48 O49:P54 Q48:R54 S46:AF54">
    <cfRule type="expression" dxfId="3820" priority="158">
      <formula>M43&gt;$AG43</formula>
    </cfRule>
  </conditionalFormatting>
  <conditionalFormatting sqref="S27:AF27">
    <cfRule type="expression" dxfId="3819" priority="154">
      <formula>S$9&gt;=20/24</formula>
    </cfRule>
    <cfRule type="expression" dxfId="3818" priority="155">
      <formula>AND(S$9&gt;=14/24,S$9&lt;20/24)</formula>
    </cfRule>
    <cfRule type="expression" dxfId="3817" priority="156">
      <formula>AND(S$9&gt;=8/24,S$9&lt;14/24)</formula>
    </cfRule>
    <cfRule type="expression" dxfId="3816" priority="157">
      <formula>S$9&lt;8/24</formula>
    </cfRule>
  </conditionalFormatting>
  <conditionalFormatting sqref="M17:AF17 M23:AF23">
    <cfRule type="expression" dxfId="3815" priority="150">
      <formula>M$9&gt;=20/24</formula>
    </cfRule>
    <cfRule type="expression" dxfId="3814" priority="151">
      <formula>AND(M$9&gt;=14/24,M$9&lt;20/24)</formula>
    </cfRule>
    <cfRule type="expression" dxfId="3813" priority="152">
      <formula>AND(M$9&gt;=8/24,M$9&lt;14/24)</formula>
    </cfRule>
    <cfRule type="expression" dxfId="3812" priority="153">
      <formula>M$9&lt;8/24</formula>
    </cfRule>
  </conditionalFormatting>
  <conditionalFormatting sqref="M17:AF17 M23:AF23">
    <cfRule type="expression" dxfId="3811" priority="145">
      <formula>M17&gt;$AG17</formula>
    </cfRule>
  </conditionalFormatting>
  <conditionalFormatting sqref="B78:AF78 B87:AF87 B99:D105 B11:L11">
    <cfRule type="expression" dxfId="3810" priority="100">
      <formula>B$9&gt;=20/24</formula>
    </cfRule>
    <cfRule type="expression" dxfId="3809" priority="101">
      <formula>AND(B$9&gt;=14/24,B$9&lt;20/24)</formula>
    </cfRule>
    <cfRule type="expression" dxfId="3808" priority="102">
      <formula>AND(B$9&gt;=8/24,B$9&lt;14/24)</formula>
    </cfRule>
    <cfRule type="expression" dxfId="3807" priority="103">
      <formula>B$9&lt;8/24</formula>
    </cfRule>
  </conditionalFormatting>
  <conditionalFormatting sqref="B37:D37">
    <cfRule type="expression" dxfId="3806" priority="96">
      <formula>B$9&gt;=20/24</formula>
    </cfRule>
    <cfRule type="expression" dxfId="3805" priority="97">
      <formula>AND(B$9&gt;=14/24,B$9&lt;20/24)</formula>
    </cfRule>
    <cfRule type="expression" dxfId="3804" priority="98">
      <formula>AND(B$9&gt;=8/24,B$9&lt;14/24)</formula>
    </cfRule>
    <cfRule type="expression" dxfId="3803" priority="99">
      <formula>B$9&lt;8/24</formula>
    </cfRule>
  </conditionalFormatting>
  <conditionalFormatting sqref="B37:D37 B11:L11">
    <cfRule type="expression" dxfId="3802" priority="95">
      <formula>B11&gt;$AG11</formula>
    </cfRule>
  </conditionalFormatting>
  <conditionalFormatting sqref="B89:D89">
    <cfRule type="expression" dxfId="3801" priority="91">
      <formula>B$9&gt;=20/24</formula>
    </cfRule>
    <cfRule type="expression" dxfId="3800" priority="92">
      <formula>AND(B$9&gt;=14/24,B$9&lt;20/24)</formula>
    </cfRule>
    <cfRule type="expression" dxfId="3799" priority="93">
      <formula>AND(B$9&gt;=8/24,B$9&lt;14/24)</formula>
    </cfRule>
    <cfRule type="expression" dxfId="3798" priority="94">
      <formula>B$9&lt;8/24</formula>
    </cfRule>
  </conditionalFormatting>
  <conditionalFormatting sqref="B44:D45 B61:D61 B36:R36">
    <cfRule type="expression" dxfId="3797" priority="87">
      <formula>B$9&gt;=20/24</formula>
    </cfRule>
    <cfRule type="expression" dxfId="3796" priority="88">
      <formula>AND(B$9&gt;=14/24,B$9&lt;20/24)</formula>
    </cfRule>
    <cfRule type="expression" dxfId="3795" priority="89">
      <formula>AND(B$9&gt;=8/24,B$9&lt;14/24)</formula>
    </cfRule>
    <cfRule type="expression" dxfId="3794" priority="90">
      <formula>B$9&lt;8/24</formula>
    </cfRule>
  </conditionalFormatting>
  <conditionalFormatting sqref="B43:D43">
    <cfRule type="expression" dxfId="3793" priority="83">
      <formula>B$9&gt;=20/24</formula>
    </cfRule>
    <cfRule type="expression" dxfId="3792" priority="84">
      <formula>AND(B$9&gt;=14/24,B$9&lt;20/24)</formula>
    </cfRule>
    <cfRule type="expression" dxfId="3791" priority="85">
      <formula>AND(B$9&gt;=8/24,B$9&lt;14/24)</formula>
    </cfRule>
    <cfRule type="expression" dxfId="3790" priority="86">
      <formula>B$9&lt;8/24</formula>
    </cfRule>
  </conditionalFormatting>
  <conditionalFormatting sqref="B43:D45 B36:R36">
    <cfRule type="expression" dxfId="3789" priority="82">
      <formula>B36&gt;$AG36</formula>
    </cfRule>
  </conditionalFormatting>
  <conditionalFormatting sqref="B57:B60 B73:B77 B79:AF79 B86 C60:AG60 C77:AG77 B88:AF88 B62:D71 B90:D96 C57:E59 E64:E71 B12:L14 B16:L16 B24:L26 B18:L22 B28:N32 M25:R26 O28:R28 O30:R32 F67:R71">
    <cfRule type="expression" dxfId="3788" priority="78">
      <formula>B$9&gt;=20/24</formula>
    </cfRule>
    <cfRule type="expression" dxfId="3787" priority="79">
      <formula>AND(B$9&gt;=14/24,B$9&lt;20/24)</formula>
    </cfRule>
    <cfRule type="expression" dxfId="3786" priority="80">
      <formula>AND(B$9&gt;=8/24,B$9&lt;14/24)</formula>
    </cfRule>
    <cfRule type="expression" dxfId="3785" priority="81">
      <formula>B$9&lt;8/24</formula>
    </cfRule>
  </conditionalFormatting>
  <conditionalFormatting sqref="B33:R33">
    <cfRule type="expression" dxfId="3784" priority="74">
      <formula>B$9&gt;=20/24</formula>
    </cfRule>
    <cfRule type="expression" dxfId="3783" priority="75">
      <formula>AND(B$9&gt;=14/24,B$9&lt;20/24)</formula>
    </cfRule>
    <cfRule type="expression" dxfId="3782" priority="76">
      <formula>AND(B$9&gt;=8/24,B$9&lt;14/24)</formula>
    </cfRule>
    <cfRule type="expression" dxfId="3781" priority="77">
      <formula>B$9&lt;8/24</formula>
    </cfRule>
  </conditionalFormatting>
  <conditionalFormatting sqref="B55:B60 C56:AG56 C60:AG60 B46:D47 C57:E59 B24:L33 B18:L22 M25:N33 O25:R28 O30:R33 B38:AG38">
    <cfRule type="expression" dxfId="3780" priority="73">
      <formula>B18&gt;$AG18</formula>
    </cfRule>
  </conditionalFormatting>
  <conditionalFormatting sqref="B35:R35">
    <cfRule type="expression" dxfId="3779" priority="69">
      <formula>B$9&gt;=20/24</formula>
    </cfRule>
    <cfRule type="expression" dxfId="3778" priority="70">
      <formula>AND(B$9&gt;=14/24,B$9&lt;20/24)</formula>
    </cfRule>
    <cfRule type="expression" dxfId="3777" priority="71">
      <formula>AND(B$9&gt;=8/24,B$9&lt;14/24)</formula>
    </cfRule>
    <cfRule type="expression" dxfId="3776" priority="72">
      <formula>B$9&lt;8/24</formula>
    </cfRule>
  </conditionalFormatting>
  <conditionalFormatting sqref="B15:L15">
    <cfRule type="expression" dxfId="3775" priority="65">
      <formula>B$9&gt;=20/24</formula>
    </cfRule>
    <cfRule type="expression" dxfId="3774" priority="66">
      <formula>AND(B$9&gt;=14/24,B$9&lt;20/24)</formula>
    </cfRule>
    <cfRule type="expression" dxfId="3773" priority="67">
      <formula>AND(B$9&gt;=8/24,B$9&lt;14/24)</formula>
    </cfRule>
    <cfRule type="expression" dxfId="3772" priority="68">
      <formula>B$9&lt;8/24</formula>
    </cfRule>
  </conditionalFormatting>
  <conditionalFormatting sqref="B34:R34">
    <cfRule type="expression" dxfId="3771" priority="61">
      <formula>B$9&gt;=20/24</formula>
    </cfRule>
    <cfRule type="expression" dxfId="3770" priority="62">
      <formula>AND(B$9&gt;=14/24,B$9&lt;20/24)</formula>
    </cfRule>
    <cfRule type="expression" dxfId="3769" priority="63">
      <formula>AND(B$9&gt;=8/24,B$9&lt;14/24)</formula>
    </cfRule>
    <cfRule type="expression" dxfId="3768" priority="64">
      <formula>B$9&lt;8/24</formula>
    </cfRule>
  </conditionalFormatting>
  <conditionalFormatting sqref="B34:R34">
    <cfRule type="expression" dxfId="3767" priority="60">
      <formula>B34&gt;$AG34</formula>
    </cfRule>
  </conditionalFormatting>
  <conditionalFormatting sqref="B48:M54 N49:N54">
    <cfRule type="expression" dxfId="3766" priority="56">
      <formula>B$9&gt;=20/24</formula>
    </cfRule>
    <cfRule type="expression" dxfId="3765" priority="57">
      <formula>AND(B$9&gt;=14/24,B$9&lt;20/24)</formula>
    </cfRule>
    <cfRule type="expression" dxfId="3764" priority="58">
      <formula>AND(B$9&gt;=8/24,B$9&lt;14/24)</formula>
    </cfRule>
    <cfRule type="expression" dxfId="3763" priority="59">
      <formula>B$9&lt;8/24</formula>
    </cfRule>
  </conditionalFormatting>
  <conditionalFormatting sqref="B48:M54 N49:N54">
    <cfRule type="expression" dxfId="3762" priority="55">
      <formula>B48&gt;$AG48</formula>
    </cfRule>
  </conditionalFormatting>
  <conditionalFormatting sqref="B27:R27">
    <cfRule type="expression" dxfId="3761" priority="51">
      <formula>B$9&gt;=20/24</formula>
    </cfRule>
    <cfRule type="expression" dxfId="3760" priority="52">
      <formula>AND(B$9&gt;=14/24,B$9&lt;20/24)</formula>
    </cfRule>
    <cfRule type="expression" dxfId="3759" priority="53">
      <formula>AND(B$9&gt;=8/24,B$9&lt;14/24)</formula>
    </cfRule>
    <cfRule type="expression" dxfId="3758" priority="54">
      <formula>B$9&lt;8/24</formula>
    </cfRule>
  </conditionalFormatting>
  <conditionalFormatting sqref="B17:L17 B23:L23">
    <cfRule type="expression" dxfId="3757" priority="47">
      <formula>B$9&gt;=20/24</formula>
    </cfRule>
    <cfRule type="expression" dxfId="3756" priority="48">
      <formula>AND(B$9&gt;=14/24,B$9&lt;20/24)</formula>
    </cfRule>
    <cfRule type="expression" dxfId="3755" priority="49">
      <formula>AND(B$9&gt;=8/24,B$9&lt;14/24)</formula>
    </cfRule>
    <cfRule type="expression" dxfId="3754" priority="50">
      <formula>B$9&lt;8/24</formula>
    </cfRule>
  </conditionalFormatting>
  <conditionalFormatting sqref="B17:L17 B23:L23">
    <cfRule type="expression" dxfId="3753" priority="46">
      <formula>B17&gt;$AG17</formula>
    </cfRule>
  </conditionalFormatting>
  <conditionalFormatting sqref="A34">
    <cfRule type="expression" dxfId="3752" priority="45">
      <formula>$AH34=0</formula>
    </cfRule>
  </conditionalFormatting>
  <conditionalFormatting sqref="B72:AF72">
    <cfRule type="expression" dxfId="3751" priority="41">
      <formula>B$9&gt;=20/24</formula>
    </cfRule>
    <cfRule type="expression" dxfId="3750" priority="42">
      <formula>AND(B$9&gt;=14/24,B$9&lt;20/24)</formula>
    </cfRule>
    <cfRule type="expression" dxfId="3749" priority="43">
      <formula>AND(B$9&gt;=8/24,B$9&lt;14/24)</formula>
    </cfRule>
    <cfRule type="expression" dxfId="3748" priority="44">
      <formula>B$9&lt;8/24</formula>
    </cfRule>
  </conditionalFormatting>
  <conditionalFormatting sqref="B81:AF85">
    <cfRule type="expression" dxfId="3747" priority="37">
      <formula>B$9&gt;=20/24</formula>
    </cfRule>
    <cfRule type="expression" dxfId="3746" priority="38">
      <formula>AND(B$9&gt;=14/24,B$9&lt;20/24)</formula>
    </cfRule>
    <cfRule type="expression" dxfId="3745" priority="39">
      <formula>AND(B$9&gt;=8/24,B$9&lt;14/24)</formula>
    </cfRule>
    <cfRule type="expression" dxfId="3744" priority="40">
      <formula>B$9&lt;8/24</formula>
    </cfRule>
  </conditionalFormatting>
  <conditionalFormatting sqref="AL35 AL7:AL30 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M39:AF41">
    <cfRule type="expression" dxfId="3743" priority="33">
      <formula>M$9&gt;=20/24</formula>
    </cfRule>
    <cfRule type="expression" dxfId="3742" priority="34">
      <formula>AND(M$9&gt;=14/24,M$9&lt;20/24)</formula>
    </cfRule>
    <cfRule type="expression" dxfId="3741" priority="35">
      <formula>AND(M$9&gt;=8/24,M$9&lt;14/24)</formula>
    </cfRule>
    <cfRule type="expression" dxfId="3740" priority="36">
      <formula>M$9&lt;8/24</formula>
    </cfRule>
  </conditionalFormatting>
  <conditionalFormatting sqref="M39:AF41">
    <cfRule type="expression" dxfId="3739" priority="32">
      <formula>M39&gt;$AG39</formula>
    </cfRule>
  </conditionalFormatting>
  <conditionalFormatting sqref="B39:B42 C42:AG42 C39:L41">
    <cfRule type="expression" dxfId="3738" priority="28">
      <formula>B$9&gt;=20/24</formula>
    </cfRule>
    <cfRule type="expression" dxfId="3737" priority="29">
      <formula>AND(B$9&gt;=14/24,B$9&lt;20/24)</formula>
    </cfRule>
    <cfRule type="expression" dxfId="3736" priority="30">
      <formula>AND(B$9&gt;=8/24,B$9&lt;14/24)</formula>
    </cfRule>
    <cfRule type="expression" dxfId="3735" priority="31">
      <formula>B$9&lt;8/24</formula>
    </cfRule>
  </conditionalFormatting>
  <conditionalFormatting sqref="B39:B42 C42:AG42 C39:L41">
    <cfRule type="expression" dxfId="3734" priority="27">
      <formula>B39&gt;$AG39</formula>
    </cfRule>
  </conditionalFormatting>
  <conditionalFormatting sqref="C97:AF97">
    <cfRule type="expression" dxfId="3733" priority="23">
      <formula>C$9&gt;=20/24</formula>
    </cfRule>
    <cfRule type="expression" dxfId="3732" priority="24">
      <formula>AND(C$9&gt;=14/24,C$9&lt;20/24)</formula>
    </cfRule>
    <cfRule type="expression" dxfId="3731" priority="25">
      <formula>AND(C$9&gt;=8/24,C$9&lt;14/24)</formula>
    </cfRule>
    <cfRule type="expression" dxfId="3730" priority="26">
      <formula>C$9&lt;8/24</formula>
    </cfRule>
  </conditionalFormatting>
  <conditionalFormatting sqref="B97">
    <cfRule type="expression" dxfId="3729" priority="19">
      <formula>B$9&gt;=20/24</formula>
    </cfRule>
    <cfRule type="expression" dxfId="3728" priority="20">
      <formula>AND(B$9&gt;=14/24,B$9&lt;20/24)</formula>
    </cfRule>
    <cfRule type="expression" dxfId="3727" priority="21">
      <formula>AND(B$9&gt;=8/24,B$9&lt;14/24)</formula>
    </cfRule>
    <cfRule type="expression" dxfId="3726" priority="22">
      <formula>B$9&lt;8/24</formula>
    </cfRule>
  </conditionalFormatting>
  <conditionalFormatting sqref="AL31">
    <cfRule type="iconSet" priority="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725" priority="12">
      <formula>$AH31=0</formula>
    </cfRule>
  </conditionalFormatting>
  <conditionalFormatting sqref="A80">
    <cfRule type="expression" dxfId="3724" priority="10">
      <formula>$AH80=0</formula>
    </cfRule>
  </conditionalFormatting>
  <conditionalFormatting sqref="A77">
    <cfRule type="expression" dxfId="3723" priority="11">
      <formula>$AH77=0</formula>
    </cfRule>
  </conditionalFormatting>
  <conditionalFormatting sqref="A106">
    <cfRule type="expression" dxfId="3722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A59D0966-F20D-4536-A262-992F0A9F1F9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" id="{DCE689BD-A157-460C-8A78-9291C19B428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" id="{ADC77B47-5977-490B-8FB2-8B7AD63344F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7D0A957E-E80D-414A-ABEA-3D5FE2E3A78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14F4BF81-045A-4E48-8048-D5F4E9768CB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CD9E8B88-8035-4B0E-A816-9320020CB50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120185B0-DF3E-4299-A7B8-CECD16D2217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755B9BBB-D040-44DC-A3F1-31F587C6D76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E106:AF106</xm:sqref>
        </x14:conditionalFormatting>
        <x14:conditionalFormatting xmlns:xm="http://schemas.microsoft.com/office/excel/2006/main">
          <x14:cfRule type="expression" priority="2" id="{D2B134B4-8A19-4D0E-94E9-6C6F39D0A90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5C76F860-C691-4B55-A491-70C90D71EBF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AC7DBB65-672D-4B1A-83F8-09FE38A84B4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6C9B2E35-D160-4DB9-A2E5-5C7340657D1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B106:D106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CJ493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K61" sqref="K61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2079/02/20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5</v>
      </c>
      <c r="T5" s="205">
        <f t="shared" si="0"/>
        <v>5</v>
      </c>
      <c r="U5" s="205">
        <f t="shared" si="0"/>
        <v>4</v>
      </c>
      <c r="V5" s="205">
        <f t="shared" si="0"/>
        <v>4</v>
      </c>
      <c r="W5" s="205">
        <f t="shared" si="0"/>
        <v>4</v>
      </c>
      <c r="X5" s="205">
        <f t="shared" si="0"/>
        <v>4</v>
      </c>
      <c r="Y5" s="205">
        <f t="shared" si="0"/>
        <v>4</v>
      </c>
      <c r="Z5" s="205">
        <f t="shared" si="0"/>
        <v>4</v>
      </c>
      <c r="AA5" s="205">
        <f t="shared" si="0"/>
        <v>28.7</v>
      </c>
      <c r="AB5" s="205">
        <f t="shared" si="0"/>
        <v>38.299999999999997</v>
      </c>
      <c r="AC5" s="205">
        <f t="shared" si="0"/>
        <v>38.4</v>
      </c>
      <c r="AD5" s="205">
        <f t="shared" si="0"/>
        <v>4</v>
      </c>
      <c r="AE5" s="205">
        <f t="shared" si="0"/>
        <v>4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1761MW at 7:30hr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Load=1658</v>
      </c>
      <c r="B7" s="210">
        <f>B79</f>
        <v>1738.6399999999999</v>
      </c>
      <c r="C7" s="210">
        <f t="shared" ref="C7:AF7" si="1">C79</f>
        <v>1738.6399999999999</v>
      </c>
      <c r="D7" s="210">
        <f t="shared" si="1"/>
        <v>1719.44</v>
      </c>
      <c r="E7" s="210">
        <f t="shared" si="1"/>
        <v>1719.44</v>
      </c>
      <c r="F7" s="210">
        <f t="shared" si="1"/>
        <v>1680.04</v>
      </c>
      <c r="G7" s="210">
        <f t="shared" si="1"/>
        <v>1680.04</v>
      </c>
      <c r="H7" s="210">
        <f t="shared" si="1"/>
        <v>1658.14</v>
      </c>
      <c r="I7" s="210">
        <f t="shared" si="1"/>
        <v>1718.44</v>
      </c>
      <c r="J7" s="210">
        <f t="shared" si="1"/>
        <v>1718.44</v>
      </c>
      <c r="K7" s="210">
        <f t="shared" si="1"/>
        <v>1737.44</v>
      </c>
      <c r="L7" s="210">
        <f t="shared" si="1"/>
        <v>1761.44</v>
      </c>
      <c r="M7" s="210">
        <f t="shared" si="1"/>
        <v>1761.24</v>
      </c>
      <c r="N7" s="210">
        <f t="shared" si="1"/>
        <v>1742.24</v>
      </c>
      <c r="O7" s="210">
        <f t="shared" si="1"/>
        <v>1727.24</v>
      </c>
      <c r="P7" s="210">
        <f t="shared" si="1"/>
        <v>1757.24</v>
      </c>
      <c r="Q7" s="210">
        <f t="shared" si="1"/>
        <v>1757.24</v>
      </c>
      <c r="R7" s="210">
        <f t="shared" si="1"/>
        <v>1762.24</v>
      </c>
      <c r="S7" s="210">
        <f t="shared" si="1"/>
        <v>1787.24</v>
      </c>
      <c r="T7" s="210">
        <f t="shared" si="1"/>
        <v>1780.24</v>
      </c>
      <c r="U7" s="210">
        <f t="shared" si="1"/>
        <v>1767.24</v>
      </c>
      <c r="V7" s="210">
        <f t="shared" si="1"/>
        <v>1815.35</v>
      </c>
      <c r="W7" s="210">
        <f t="shared" si="1"/>
        <v>1795.34</v>
      </c>
      <c r="X7" s="210">
        <f t="shared" si="1"/>
        <v>1787.24</v>
      </c>
      <c r="Y7" s="210">
        <f t="shared" si="1"/>
        <v>1831.34</v>
      </c>
      <c r="Z7" s="210">
        <f t="shared" si="1"/>
        <v>1781.1399999999999</v>
      </c>
      <c r="AA7" s="210">
        <f t="shared" si="1"/>
        <v>1871.24</v>
      </c>
      <c r="AB7" s="210">
        <f t="shared" si="1"/>
        <v>1899.9399999999998</v>
      </c>
      <c r="AC7" s="210">
        <f t="shared" si="1"/>
        <v>1922.5399999999997</v>
      </c>
      <c r="AD7" s="210">
        <f t="shared" si="1"/>
        <v>1912.24</v>
      </c>
      <c r="AE7" s="210">
        <f t="shared" si="1"/>
        <v>1770.24</v>
      </c>
      <c r="AF7" s="210">
        <f t="shared" si="1"/>
        <v>1745.14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53.2</v>
      </c>
      <c r="C11" s="221">
        <v>53.2</v>
      </c>
      <c r="D11" s="221">
        <v>53.2</v>
      </c>
      <c r="E11" s="221">
        <v>53.2</v>
      </c>
      <c r="F11" s="221">
        <v>53.2</v>
      </c>
      <c r="G11" s="221">
        <v>53.2</v>
      </c>
      <c r="H11" s="221">
        <v>53.2</v>
      </c>
      <c r="I11" s="221">
        <v>53.2</v>
      </c>
      <c r="J11" s="221">
        <v>53.2</v>
      </c>
      <c r="K11" s="221">
        <v>53.2</v>
      </c>
      <c r="L11" s="221">
        <v>53.2</v>
      </c>
      <c r="M11" s="221">
        <v>53.2</v>
      </c>
      <c r="N11" s="221">
        <v>53.2</v>
      </c>
      <c r="O11" s="221">
        <v>53.2</v>
      </c>
      <c r="P11" s="221">
        <v>53.2</v>
      </c>
      <c r="Q11" s="221">
        <v>53.2</v>
      </c>
      <c r="R11" s="221">
        <v>53.2</v>
      </c>
      <c r="S11" s="221">
        <v>53.2</v>
      </c>
      <c r="T11" s="221">
        <v>53.2</v>
      </c>
      <c r="U11" s="221">
        <v>53.2</v>
      </c>
      <c r="V11" s="221">
        <v>53.2</v>
      </c>
      <c r="W11" s="221">
        <v>53.2</v>
      </c>
      <c r="X11" s="221">
        <v>53.2</v>
      </c>
      <c r="Y11" s="221">
        <v>53.2</v>
      </c>
      <c r="Z11" s="221">
        <v>53.2</v>
      </c>
      <c r="AA11" s="221">
        <v>53.2</v>
      </c>
      <c r="AB11" s="224">
        <v>53.1</v>
      </c>
      <c r="AC11" s="224">
        <v>53.1</v>
      </c>
      <c r="AD11" s="224">
        <v>53.1</v>
      </c>
      <c r="AE11" s="224">
        <v>53.1</v>
      </c>
      <c r="AF11" s="224">
        <v>53.1</v>
      </c>
      <c r="AG11" s="225">
        <v>52.4</v>
      </c>
      <c r="AH11" s="226">
        <f>MAX(B11:AF11)</f>
        <v>53.2</v>
      </c>
      <c r="AI11" s="227">
        <f>MIN(B11:AF11)</f>
        <v>53.1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50.4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50.4</v>
      </c>
      <c r="N12" s="221">
        <v>50.4</v>
      </c>
      <c r="O12" s="221">
        <v>50.4</v>
      </c>
      <c r="P12" s="221">
        <v>50.4</v>
      </c>
      <c r="Q12" s="221">
        <v>50.4</v>
      </c>
      <c r="R12" s="221">
        <v>50.4</v>
      </c>
      <c r="S12" s="221">
        <v>50.4</v>
      </c>
      <c r="T12" s="221">
        <v>50.4</v>
      </c>
      <c r="U12" s="221">
        <v>50.4</v>
      </c>
      <c r="V12" s="221">
        <v>50.4</v>
      </c>
      <c r="W12" s="221">
        <v>50.4</v>
      </c>
      <c r="X12" s="221">
        <v>50.4</v>
      </c>
      <c r="Y12" s="221">
        <v>50.4</v>
      </c>
      <c r="Z12" s="221">
        <v>50.4</v>
      </c>
      <c r="AA12" s="221">
        <v>50.4</v>
      </c>
      <c r="AB12" s="221">
        <v>50.4</v>
      </c>
      <c r="AC12" s="221">
        <v>50.6</v>
      </c>
      <c r="AD12" s="221">
        <v>50.6</v>
      </c>
      <c r="AE12" s="221">
        <v>50.6</v>
      </c>
      <c r="AF12" s="221">
        <v>50.6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50.4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46.1</v>
      </c>
      <c r="C13" s="221">
        <v>46.1</v>
      </c>
      <c r="D13" s="221">
        <v>46.1</v>
      </c>
      <c r="E13" s="221">
        <v>46.1</v>
      </c>
      <c r="F13" s="221">
        <v>46.1</v>
      </c>
      <c r="G13" s="221">
        <v>46.1</v>
      </c>
      <c r="H13" s="221">
        <v>46.1</v>
      </c>
      <c r="I13" s="221">
        <v>46.1</v>
      </c>
      <c r="J13" s="221">
        <v>46.1</v>
      </c>
      <c r="K13" s="221">
        <v>46.1</v>
      </c>
      <c r="L13" s="221">
        <v>46.1</v>
      </c>
      <c r="M13" s="221">
        <v>46.1</v>
      </c>
      <c r="N13" s="221">
        <v>46.1</v>
      </c>
      <c r="O13" s="221">
        <v>46.1</v>
      </c>
      <c r="P13" s="221">
        <v>46.1</v>
      </c>
      <c r="Q13" s="221">
        <v>46.1</v>
      </c>
      <c r="R13" s="221">
        <v>46.1</v>
      </c>
      <c r="S13" s="221">
        <v>46.1</v>
      </c>
      <c r="T13" s="221">
        <v>46.1</v>
      </c>
      <c r="U13" s="221">
        <v>46.1</v>
      </c>
      <c r="V13" s="221">
        <v>46.1</v>
      </c>
      <c r="W13" s="221">
        <v>46.1</v>
      </c>
      <c r="X13" s="221">
        <v>46.1</v>
      </c>
      <c r="Y13" s="221">
        <v>46.1</v>
      </c>
      <c r="Z13" s="221">
        <v>0</v>
      </c>
      <c r="AA13" s="221">
        <v>46.1</v>
      </c>
      <c r="AB13" s="221">
        <v>46.1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46.1</v>
      </c>
      <c r="AI13" s="227">
        <f t="shared" si="3"/>
        <v>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26</v>
      </c>
      <c r="C14" s="221">
        <v>26</v>
      </c>
      <c r="D14" s="221">
        <v>26</v>
      </c>
      <c r="E14" s="221">
        <v>26</v>
      </c>
      <c r="F14" s="221">
        <v>26</v>
      </c>
      <c r="G14" s="221">
        <v>26</v>
      </c>
      <c r="H14" s="221">
        <v>26</v>
      </c>
      <c r="I14" s="221">
        <v>26</v>
      </c>
      <c r="J14" s="221">
        <v>26</v>
      </c>
      <c r="K14" s="221">
        <v>26</v>
      </c>
      <c r="L14" s="221">
        <v>35</v>
      </c>
      <c r="M14" s="221">
        <v>35</v>
      </c>
      <c r="N14" s="221">
        <v>35</v>
      </c>
      <c r="O14" s="221">
        <v>28</v>
      </c>
      <c r="P14" s="221">
        <v>35</v>
      </c>
      <c r="Q14" s="221">
        <v>35</v>
      </c>
      <c r="R14" s="221">
        <v>35</v>
      </c>
      <c r="S14" s="221">
        <v>35</v>
      </c>
      <c r="T14" s="221">
        <v>35</v>
      </c>
      <c r="U14" s="221">
        <v>35</v>
      </c>
      <c r="V14" s="221">
        <v>35</v>
      </c>
      <c r="W14" s="221">
        <v>35</v>
      </c>
      <c r="X14" s="221">
        <v>35</v>
      </c>
      <c r="Y14" s="221">
        <v>35</v>
      </c>
      <c r="Z14" s="221">
        <v>35</v>
      </c>
      <c r="AA14" s="221">
        <v>35</v>
      </c>
      <c r="AB14" s="221">
        <v>38</v>
      </c>
      <c r="AC14" s="221">
        <v>35</v>
      </c>
      <c r="AD14" s="221">
        <v>30</v>
      </c>
      <c r="AE14" s="221">
        <v>0</v>
      </c>
      <c r="AF14" s="221">
        <v>28</v>
      </c>
      <c r="AG14" s="229">
        <v>42</v>
      </c>
      <c r="AH14" s="226">
        <f t="shared" si="2"/>
        <v>38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5</v>
      </c>
      <c r="C15" s="221">
        <v>5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5</v>
      </c>
      <c r="L15" s="221">
        <v>15</v>
      </c>
      <c r="M15" s="221">
        <v>30</v>
      </c>
      <c r="N15" s="221">
        <v>20</v>
      </c>
      <c r="O15" s="221">
        <v>15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26.2</v>
      </c>
      <c r="C16" s="221">
        <v>26.2</v>
      </c>
      <c r="D16" s="221">
        <v>25</v>
      </c>
      <c r="E16" s="221">
        <v>25</v>
      </c>
      <c r="F16" s="221">
        <v>25</v>
      </c>
      <c r="G16" s="221">
        <v>25</v>
      </c>
      <c r="H16" s="221">
        <v>25</v>
      </c>
      <c r="I16" s="221">
        <v>25</v>
      </c>
      <c r="J16" s="221">
        <v>25</v>
      </c>
      <c r="K16" s="221">
        <v>25</v>
      </c>
      <c r="L16" s="221">
        <v>25</v>
      </c>
      <c r="M16" s="221">
        <v>25</v>
      </c>
      <c r="N16" s="221">
        <v>25</v>
      </c>
      <c r="O16" s="221">
        <v>25</v>
      </c>
      <c r="P16" s="221">
        <v>25</v>
      </c>
      <c r="Q16" s="221">
        <v>25</v>
      </c>
      <c r="R16" s="221">
        <v>25</v>
      </c>
      <c r="S16" s="221">
        <v>25</v>
      </c>
      <c r="T16" s="221">
        <v>25</v>
      </c>
      <c r="U16" s="221">
        <v>25</v>
      </c>
      <c r="V16" s="221">
        <v>25</v>
      </c>
      <c r="W16" s="221">
        <v>25</v>
      </c>
      <c r="X16" s="221">
        <v>25</v>
      </c>
      <c r="Y16" s="221">
        <v>25</v>
      </c>
      <c r="Z16" s="221">
        <v>25</v>
      </c>
      <c r="AA16" s="221">
        <v>25</v>
      </c>
      <c r="AB16" s="221">
        <v>26.3</v>
      </c>
      <c r="AC16" s="221">
        <v>26.3</v>
      </c>
      <c r="AD16" s="221">
        <v>26.3</v>
      </c>
      <c r="AE16" s="221">
        <v>26.3</v>
      </c>
      <c r="AF16" s="221">
        <v>25.3</v>
      </c>
      <c r="AG16" s="229">
        <v>25</v>
      </c>
      <c r="AH16" s="226">
        <f t="shared" si="2"/>
        <v>26.3</v>
      </c>
      <c r="AI16" s="227">
        <f t="shared" si="3"/>
        <v>25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23</v>
      </c>
      <c r="E17" s="221">
        <v>23</v>
      </c>
      <c r="F17" s="221">
        <v>23</v>
      </c>
      <c r="G17" s="221">
        <v>23</v>
      </c>
      <c r="H17" s="221">
        <v>23</v>
      </c>
      <c r="I17" s="221">
        <v>23</v>
      </c>
      <c r="J17" s="221">
        <v>23</v>
      </c>
      <c r="K17" s="221">
        <v>23</v>
      </c>
      <c r="L17" s="221">
        <v>23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0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0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24</v>
      </c>
      <c r="C19" s="221">
        <v>24</v>
      </c>
      <c r="D19" s="221">
        <v>24</v>
      </c>
      <c r="E19" s="221">
        <v>24</v>
      </c>
      <c r="F19" s="221">
        <v>24</v>
      </c>
      <c r="G19" s="221">
        <v>24</v>
      </c>
      <c r="H19" s="221">
        <v>24</v>
      </c>
      <c r="I19" s="221">
        <v>24</v>
      </c>
      <c r="J19" s="221">
        <v>24</v>
      </c>
      <c r="K19" s="221">
        <v>33</v>
      </c>
      <c r="L19" s="221">
        <v>33</v>
      </c>
      <c r="M19" s="221">
        <v>33</v>
      </c>
      <c r="N19" s="221">
        <v>25</v>
      </c>
      <c r="O19" s="221">
        <v>25</v>
      </c>
      <c r="P19" s="221">
        <v>33</v>
      </c>
      <c r="Q19" s="221">
        <v>33</v>
      </c>
      <c r="R19" s="221">
        <v>33</v>
      </c>
      <c r="S19" s="221">
        <v>33</v>
      </c>
      <c r="T19" s="221">
        <v>33</v>
      </c>
      <c r="U19" s="221">
        <v>33</v>
      </c>
      <c r="V19" s="221">
        <v>33</v>
      </c>
      <c r="W19" s="221">
        <v>33</v>
      </c>
      <c r="X19" s="221">
        <v>33</v>
      </c>
      <c r="Y19" s="221">
        <v>33</v>
      </c>
      <c r="Z19" s="221">
        <v>33</v>
      </c>
      <c r="AA19" s="221">
        <v>33</v>
      </c>
      <c r="AB19" s="221">
        <v>33.1</v>
      </c>
      <c r="AC19" s="221">
        <v>33.1</v>
      </c>
      <c r="AD19" s="221">
        <v>33.1</v>
      </c>
      <c r="AE19" s="221">
        <v>33.1</v>
      </c>
      <c r="AF19" s="221">
        <v>33.1</v>
      </c>
      <c r="AG19" s="229">
        <v>24.2</v>
      </c>
      <c r="AH19" s="226">
        <f t="shared" si="2"/>
        <v>33.1</v>
      </c>
      <c r="AI19" s="227">
        <f t="shared" si="3"/>
        <v>24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23.5</v>
      </c>
      <c r="C20" s="221">
        <v>23.5</v>
      </c>
      <c r="D20" s="221">
        <v>23.5</v>
      </c>
      <c r="E20" s="221">
        <v>23.5</v>
      </c>
      <c r="F20" s="221">
        <v>23.5</v>
      </c>
      <c r="G20" s="221">
        <v>23.5</v>
      </c>
      <c r="H20" s="221">
        <v>23.5</v>
      </c>
      <c r="I20" s="221">
        <v>23.5</v>
      </c>
      <c r="J20" s="221">
        <v>23.5</v>
      </c>
      <c r="K20" s="221">
        <v>23.5</v>
      </c>
      <c r="L20" s="221">
        <v>23.5</v>
      </c>
      <c r="M20" s="221">
        <v>23.5</v>
      </c>
      <c r="N20" s="221">
        <v>23.5</v>
      </c>
      <c r="O20" s="221">
        <v>23.5</v>
      </c>
      <c r="P20" s="221">
        <v>23.5</v>
      </c>
      <c r="Q20" s="221">
        <v>23.5</v>
      </c>
      <c r="R20" s="221">
        <v>23.5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23.5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0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0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22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20</v>
      </c>
      <c r="E23" s="221">
        <v>20</v>
      </c>
      <c r="F23" s="221">
        <v>20</v>
      </c>
      <c r="G23" s="221">
        <v>20</v>
      </c>
      <c r="H23" s="221">
        <v>20</v>
      </c>
      <c r="I23" s="221">
        <v>20</v>
      </c>
      <c r="J23" s="221">
        <v>20</v>
      </c>
      <c r="K23" s="221">
        <v>20</v>
      </c>
      <c r="L23" s="221">
        <v>20</v>
      </c>
      <c r="M23" s="221">
        <v>20</v>
      </c>
      <c r="N23" s="221">
        <v>20</v>
      </c>
      <c r="O23" s="221">
        <v>20</v>
      </c>
      <c r="P23" s="221">
        <v>20</v>
      </c>
      <c r="Q23" s="221">
        <v>20</v>
      </c>
      <c r="R23" s="221">
        <v>20</v>
      </c>
      <c r="S23" s="221">
        <v>20</v>
      </c>
      <c r="T23" s="221">
        <v>20</v>
      </c>
      <c r="U23" s="221">
        <v>20</v>
      </c>
      <c r="V23" s="221">
        <v>20</v>
      </c>
      <c r="W23" s="221">
        <v>20</v>
      </c>
      <c r="X23" s="221">
        <v>20</v>
      </c>
      <c r="Y23" s="221">
        <v>20</v>
      </c>
      <c r="Z23" s="221">
        <v>20</v>
      </c>
      <c r="AA23" s="221">
        <v>20</v>
      </c>
      <c r="AB23" s="221">
        <v>20</v>
      </c>
      <c r="AC23" s="221">
        <v>20</v>
      </c>
      <c r="AD23" s="221">
        <v>20</v>
      </c>
      <c r="AE23" s="221">
        <v>20</v>
      </c>
      <c r="AF23" s="221">
        <v>20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22</v>
      </c>
      <c r="AI24" s="227">
        <f t="shared" si="3"/>
        <v>20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5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5</v>
      </c>
      <c r="L25" s="221">
        <v>10</v>
      </c>
      <c r="M25" s="221">
        <v>15</v>
      </c>
      <c r="N25" s="221">
        <v>15</v>
      </c>
      <c r="O25" s="221">
        <v>5</v>
      </c>
      <c r="P25" s="221">
        <v>5</v>
      </c>
      <c r="Q25" s="221">
        <v>5</v>
      </c>
      <c r="R25" s="221">
        <v>10</v>
      </c>
      <c r="S25" s="221">
        <v>10</v>
      </c>
      <c r="T25" s="221">
        <v>10</v>
      </c>
      <c r="U25" s="221">
        <v>10</v>
      </c>
      <c r="V25" s="221">
        <v>10</v>
      </c>
      <c r="W25" s="221">
        <v>10</v>
      </c>
      <c r="X25" s="221">
        <v>14</v>
      </c>
      <c r="Y25" s="221">
        <v>14</v>
      </c>
      <c r="Z25" s="221">
        <v>14</v>
      </c>
      <c r="AA25" s="221">
        <v>14</v>
      </c>
      <c r="AB25" s="221">
        <v>14</v>
      </c>
      <c r="AC25" s="221">
        <v>10</v>
      </c>
      <c r="AD25" s="221">
        <v>5</v>
      </c>
      <c r="AE25" s="221">
        <v>0</v>
      </c>
      <c r="AF25" s="221">
        <v>0</v>
      </c>
      <c r="AG25" s="229">
        <v>20</v>
      </c>
      <c r="AH25" s="226">
        <f t="shared" si="2"/>
        <v>15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14.9</v>
      </c>
      <c r="AC26" s="221">
        <v>14.9</v>
      </c>
      <c r="AD26" s="221">
        <v>14.9</v>
      </c>
      <c r="AE26" s="221">
        <v>14.9</v>
      </c>
      <c r="AF26" s="221">
        <v>14.9</v>
      </c>
      <c r="AG26" s="229">
        <v>14.9</v>
      </c>
      <c r="AH26" s="226">
        <f t="shared" si="2"/>
        <v>14.9</v>
      </c>
      <c r="AI26" s="227">
        <f t="shared" si="3"/>
        <v>14.9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0</v>
      </c>
      <c r="C27" s="221">
        <v>0</v>
      </c>
      <c r="D27" s="221">
        <v>0</v>
      </c>
      <c r="E27" s="221">
        <v>0</v>
      </c>
      <c r="F27" s="221">
        <v>0</v>
      </c>
      <c r="G27" s="221">
        <v>0</v>
      </c>
      <c r="H27" s="221">
        <v>0</v>
      </c>
      <c r="I27" s="221">
        <v>0</v>
      </c>
      <c r="J27" s="221">
        <v>0</v>
      </c>
      <c r="K27" s="221">
        <v>0</v>
      </c>
      <c r="L27" s="221">
        <v>0</v>
      </c>
      <c r="M27" s="221">
        <v>0</v>
      </c>
      <c r="N27" s="221">
        <v>0</v>
      </c>
      <c r="O27" s="221">
        <v>0</v>
      </c>
      <c r="P27" s="221">
        <v>0</v>
      </c>
      <c r="Q27" s="221">
        <v>0</v>
      </c>
      <c r="R27" s="221">
        <v>0</v>
      </c>
      <c r="S27" s="221">
        <v>0</v>
      </c>
      <c r="T27" s="221">
        <v>0</v>
      </c>
      <c r="U27" s="221">
        <v>0</v>
      </c>
      <c r="V27" s="221">
        <v>0</v>
      </c>
      <c r="W27" s="221">
        <v>0</v>
      </c>
      <c r="X27" s="221">
        <v>0</v>
      </c>
      <c r="Y27" s="221">
        <v>0</v>
      </c>
      <c r="Z27" s="221">
        <v>0</v>
      </c>
      <c r="AA27" s="221">
        <v>0</v>
      </c>
      <c r="AB27" s="221">
        <v>0</v>
      </c>
      <c r="AC27" s="221">
        <v>0</v>
      </c>
      <c r="AD27" s="221">
        <v>0</v>
      </c>
      <c r="AE27" s="221">
        <v>0</v>
      </c>
      <c r="AF27" s="221">
        <v>0</v>
      </c>
      <c r="AG27" s="229">
        <v>13.6</v>
      </c>
      <c r="AH27" s="226">
        <f t="shared" si="2"/>
        <v>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11.8</v>
      </c>
      <c r="P32" s="221">
        <v>11.8</v>
      </c>
      <c r="Q32" s="221">
        <v>11.8</v>
      </c>
      <c r="R32" s="221">
        <v>11.8</v>
      </c>
      <c r="S32" s="221">
        <v>11.8</v>
      </c>
      <c r="T32" s="221">
        <v>11.8</v>
      </c>
      <c r="U32" s="221">
        <v>11.8</v>
      </c>
      <c r="V32" s="221">
        <v>11.8</v>
      </c>
      <c r="W32" s="221">
        <v>11.8</v>
      </c>
      <c r="X32" s="221">
        <v>11.8</v>
      </c>
      <c r="Y32" s="221">
        <v>11.8</v>
      </c>
      <c r="Z32" s="221">
        <v>11.8</v>
      </c>
      <c r="AA32" s="221">
        <v>11.8</v>
      </c>
      <c r="AB32" s="221">
        <v>11.8</v>
      </c>
      <c r="AC32" s="221">
        <v>11.8</v>
      </c>
      <c r="AD32" s="221">
        <v>11.8</v>
      </c>
      <c r="AE32" s="221">
        <v>11.8</v>
      </c>
      <c r="AF32" s="221">
        <v>11.8</v>
      </c>
      <c r="AG32" s="230">
        <v>11.88</v>
      </c>
      <c r="AH32" s="226">
        <f t="shared" si="2"/>
        <v>11.8</v>
      </c>
      <c r="AI32" s="227">
        <f t="shared" si="3"/>
        <v>11.8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10</v>
      </c>
      <c r="N34" s="221">
        <v>10</v>
      </c>
      <c r="O34" s="221">
        <v>10</v>
      </c>
      <c r="P34" s="221">
        <v>10</v>
      </c>
      <c r="Q34" s="221">
        <v>10</v>
      </c>
      <c r="R34" s="221">
        <v>10</v>
      </c>
      <c r="S34" s="221">
        <v>10</v>
      </c>
      <c r="T34" s="221">
        <v>10</v>
      </c>
      <c r="U34" s="221">
        <v>10</v>
      </c>
      <c r="V34" s="221">
        <v>10</v>
      </c>
      <c r="W34" s="221">
        <v>10</v>
      </c>
      <c r="X34" s="221">
        <v>10</v>
      </c>
      <c r="Y34" s="221">
        <v>10</v>
      </c>
      <c r="Z34" s="221">
        <v>10</v>
      </c>
      <c r="AA34" s="221">
        <v>10</v>
      </c>
      <c r="AB34" s="221">
        <v>10</v>
      </c>
      <c r="AC34" s="221">
        <v>10</v>
      </c>
      <c r="AD34" s="221">
        <v>10</v>
      </c>
      <c r="AE34" s="221">
        <v>0</v>
      </c>
      <c r="AF34" s="221">
        <v>10</v>
      </c>
      <c r="AG34" s="235">
        <v>10</v>
      </c>
      <c r="AH34" s="226">
        <f t="shared" si="2"/>
        <v>10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4</v>
      </c>
      <c r="O35" s="221">
        <v>4</v>
      </c>
      <c r="P35" s="221">
        <v>4</v>
      </c>
      <c r="Q35" s="221">
        <v>4</v>
      </c>
      <c r="R35" s="221">
        <v>4</v>
      </c>
      <c r="S35" s="221">
        <v>4</v>
      </c>
      <c r="T35" s="221">
        <v>4</v>
      </c>
      <c r="U35" s="221">
        <v>4</v>
      </c>
      <c r="V35" s="221">
        <v>4</v>
      </c>
      <c r="W35" s="221">
        <v>4</v>
      </c>
      <c r="X35" s="221">
        <v>4</v>
      </c>
      <c r="Y35" s="221">
        <v>4</v>
      </c>
      <c r="Z35" s="221">
        <v>4</v>
      </c>
      <c r="AA35" s="221">
        <v>4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4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v>178</v>
      </c>
      <c r="C37" s="239">
        <v>177</v>
      </c>
      <c r="D37" s="239">
        <v>177</v>
      </c>
      <c r="E37" s="239">
        <f>73.7+99.1</f>
        <v>172.8</v>
      </c>
      <c r="F37" s="239">
        <f>73.7+99.1</f>
        <v>172.8</v>
      </c>
      <c r="G37" s="239">
        <f>73.7+99.1</f>
        <v>172.8</v>
      </c>
      <c r="H37" s="239">
        <f>73.7+99.1</f>
        <v>172.8</v>
      </c>
      <c r="I37" s="239">
        <f>73.7+99.1</f>
        <v>172.8</v>
      </c>
      <c r="J37" s="239">
        <f>76.7+94</f>
        <v>170.7</v>
      </c>
      <c r="K37" s="239">
        <f>76.7+94</f>
        <v>170.7</v>
      </c>
      <c r="L37" s="239">
        <f>76.4+98.8</f>
        <v>175.2</v>
      </c>
      <c r="M37" s="237">
        <f>76.1+100.1</f>
        <v>176.2</v>
      </c>
      <c r="N37" s="237">
        <f>68.5+100.5</f>
        <v>169</v>
      </c>
      <c r="O37" s="237">
        <f>70.4+94.9</f>
        <v>165.3</v>
      </c>
      <c r="P37" s="237">
        <f>70.2+95</f>
        <v>165.2</v>
      </c>
      <c r="Q37" s="237">
        <f>70.4+95.2</f>
        <v>165.60000000000002</v>
      </c>
      <c r="R37" s="237">
        <v>166</v>
      </c>
      <c r="S37" s="237">
        <v>166</v>
      </c>
      <c r="T37" s="237">
        <v>166</v>
      </c>
      <c r="U37" s="237">
        <v>166</v>
      </c>
      <c r="V37" s="237">
        <v>166</v>
      </c>
      <c r="W37" s="237">
        <v>146</v>
      </c>
      <c r="X37" s="237">
        <v>146</v>
      </c>
      <c r="Y37" s="237">
        <v>146</v>
      </c>
      <c r="Z37" s="237">
        <v>146</v>
      </c>
      <c r="AA37" s="237">
        <v>146</v>
      </c>
      <c r="AB37" s="239">
        <f>98.5+69.5</f>
        <v>168</v>
      </c>
      <c r="AC37" s="239">
        <f>98.5+69.4</f>
        <v>167.9</v>
      </c>
      <c r="AD37" s="239">
        <f>99.3+69.5</f>
        <v>168.8</v>
      </c>
      <c r="AE37" s="239">
        <v>169.2</v>
      </c>
      <c r="AF37" s="239">
        <f>98.3+71.3</f>
        <v>169.6</v>
      </c>
      <c r="AG37" s="235">
        <v>240</v>
      </c>
      <c r="AH37" s="226">
        <f t="shared" si="2"/>
        <v>178</v>
      </c>
      <c r="AI37" s="227">
        <f t="shared" si="3"/>
        <v>146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768.09999999999991</v>
      </c>
      <c r="C38" s="241">
        <f t="shared" si="4"/>
        <v>768.09999999999991</v>
      </c>
      <c r="D38" s="241">
        <f t="shared" si="4"/>
        <v>748.9</v>
      </c>
      <c r="E38" s="241">
        <f t="shared" si="4"/>
        <v>748.9</v>
      </c>
      <c r="F38" s="241">
        <f t="shared" si="4"/>
        <v>748.9</v>
      </c>
      <c r="G38" s="241">
        <f t="shared" si="4"/>
        <v>748.9</v>
      </c>
      <c r="H38" s="241">
        <f t="shared" si="4"/>
        <v>748.9</v>
      </c>
      <c r="I38" s="241">
        <f t="shared" si="4"/>
        <v>748.9</v>
      </c>
      <c r="J38" s="241">
        <f t="shared" si="4"/>
        <v>748.9</v>
      </c>
      <c r="K38" s="241">
        <f t="shared" si="4"/>
        <v>767.9</v>
      </c>
      <c r="L38" s="241">
        <f t="shared" si="4"/>
        <v>791.9</v>
      </c>
      <c r="M38" s="241">
        <f t="shared" si="4"/>
        <v>815.9</v>
      </c>
      <c r="N38" s="241">
        <f t="shared" si="4"/>
        <v>799.9</v>
      </c>
      <c r="O38" s="241">
        <f t="shared" si="4"/>
        <v>777.9</v>
      </c>
      <c r="P38" s="241">
        <f t="shared" si="4"/>
        <v>807.9</v>
      </c>
      <c r="Q38" s="241">
        <f t="shared" si="4"/>
        <v>807.9</v>
      </c>
      <c r="R38" s="241">
        <f t="shared" si="4"/>
        <v>812.9</v>
      </c>
      <c r="S38" s="241">
        <f>SUM(S11:S36)</f>
        <v>812.9</v>
      </c>
      <c r="T38" s="241">
        <f t="shared" si="4"/>
        <v>812.9</v>
      </c>
      <c r="U38" s="241">
        <f t="shared" si="4"/>
        <v>812.9</v>
      </c>
      <c r="V38" s="241">
        <f t="shared" si="4"/>
        <v>812.9</v>
      </c>
      <c r="W38" s="241">
        <f t="shared" si="4"/>
        <v>812.9</v>
      </c>
      <c r="X38" s="241">
        <f t="shared" si="4"/>
        <v>816.9</v>
      </c>
      <c r="Y38" s="241">
        <f t="shared" si="4"/>
        <v>816.9</v>
      </c>
      <c r="Z38" s="241">
        <f t="shared" si="4"/>
        <v>726.8</v>
      </c>
      <c r="AA38" s="241">
        <f t="shared" si="4"/>
        <v>816.9</v>
      </c>
      <c r="AB38" s="241">
        <f t="shared" si="4"/>
        <v>817.09999999999991</v>
      </c>
      <c r="AC38" s="241">
        <f t="shared" si="4"/>
        <v>810.2</v>
      </c>
      <c r="AD38" s="241">
        <f t="shared" si="4"/>
        <v>800.2</v>
      </c>
      <c r="AE38" s="241">
        <f t="shared" si="4"/>
        <v>755.2</v>
      </c>
      <c r="AF38" s="241">
        <f t="shared" si="4"/>
        <v>762.2</v>
      </c>
      <c r="AG38" s="242">
        <f t="shared" si="4"/>
        <v>665.78</v>
      </c>
      <c r="AH38" s="226">
        <f t="shared" si="2"/>
        <v>817.09999999999991</v>
      </c>
      <c r="AI38" s="227">
        <f t="shared" si="3"/>
        <v>726.8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140.30000000000001</v>
      </c>
      <c r="C43" s="221">
        <v>140.30000000000001</v>
      </c>
      <c r="D43" s="221">
        <v>140.30000000000001</v>
      </c>
      <c r="E43" s="221">
        <v>140.30000000000001</v>
      </c>
      <c r="F43" s="221">
        <v>121</v>
      </c>
      <c r="G43" s="221">
        <v>121</v>
      </c>
      <c r="H43" s="221">
        <v>121</v>
      </c>
      <c r="I43" s="221">
        <v>140</v>
      </c>
      <c r="J43" s="221">
        <v>140</v>
      </c>
      <c r="K43" s="221">
        <v>140</v>
      </c>
      <c r="L43" s="221">
        <v>140</v>
      </c>
      <c r="M43" s="221">
        <v>140.5</v>
      </c>
      <c r="N43" s="221">
        <v>140.5</v>
      </c>
      <c r="O43" s="221">
        <v>140.5</v>
      </c>
      <c r="P43" s="221">
        <v>140.5</v>
      </c>
      <c r="Q43" s="221">
        <v>140.5</v>
      </c>
      <c r="R43" s="221">
        <v>140.5</v>
      </c>
      <c r="S43" s="221">
        <v>140.5</v>
      </c>
      <c r="T43" s="221">
        <v>140.5</v>
      </c>
      <c r="U43" s="221">
        <v>140.5</v>
      </c>
      <c r="V43" s="221">
        <v>140.5</v>
      </c>
      <c r="W43" s="221">
        <v>140.5</v>
      </c>
      <c r="X43" s="221">
        <v>140.5</v>
      </c>
      <c r="Y43" s="221">
        <v>140.5</v>
      </c>
      <c r="Z43" s="221">
        <v>140.5</v>
      </c>
      <c r="AA43" s="221">
        <v>140.5</v>
      </c>
      <c r="AB43" s="221">
        <v>141</v>
      </c>
      <c r="AC43" s="221">
        <v>141.19999999999999</v>
      </c>
      <c r="AD43" s="221">
        <v>141.30000000000001</v>
      </c>
      <c r="AE43" s="221">
        <v>141.19999999999999</v>
      </c>
      <c r="AF43" s="221">
        <v>141.19999999999999</v>
      </c>
      <c r="AG43" s="230">
        <v>144</v>
      </c>
      <c r="AH43" s="226">
        <f t="shared" si="2"/>
        <v>141.30000000000001</v>
      </c>
      <c r="AI43" s="227">
        <f t="shared" si="3"/>
        <v>121</v>
      </c>
      <c r="AK43" s="228"/>
    </row>
    <row r="44" spans="1:88" x14ac:dyDescent="0.25">
      <c r="A44" s="234" t="s">
        <v>52</v>
      </c>
      <c r="B44" s="245">
        <v>71.2</v>
      </c>
      <c r="C44" s="245">
        <v>71.2</v>
      </c>
      <c r="D44" s="245">
        <v>71.2</v>
      </c>
      <c r="E44" s="245">
        <v>71.2</v>
      </c>
      <c r="F44" s="245">
        <v>71.2</v>
      </c>
      <c r="G44" s="245">
        <v>71.2</v>
      </c>
      <c r="H44" s="245">
        <v>60</v>
      </c>
      <c r="I44" s="245">
        <v>71.2</v>
      </c>
      <c r="J44" s="245">
        <v>71.2</v>
      </c>
      <c r="K44" s="245">
        <v>71.2</v>
      </c>
      <c r="L44" s="245">
        <v>71.2</v>
      </c>
      <c r="M44" s="245">
        <v>71.099999999999994</v>
      </c>
      <c r="N44" s="245">
        <v>71.099999999999994</v>
      </c>
      <c r="O44" s="245">
        <v>71.099999999999994</v>
      </c>
      <c r="P44" s="245">
        <v>71.099999999999994</v>
      </c>
      <c r="Q44" s="245">
        <v>71.099999999999994</v>
      </c>
      <c r="R44" s="245">
        <v>71.099999999999994</v>
      </c>
      <c r="S44" s="245">
        <v>71.099999999999994</v>
      </c>
      <c r="T44" s="245">
        <v>71.099999999999994</v>
      </c>
      <c r="U44" s="245">
        <v>71.099999999999994</v>
      </c>
      <c r="V44" s="245">
        <v>71.099999999999994</v>
      </c>
      <c r="W44" s="245">
        <v>71.099999999999994</v>
      </c>
      <c r="X44" s="245">
        <v>71.099999999999994</v>
      </c>
      <c r="Y44" s="245">
        <v>71.099999999999994</v>
      </c>
      <c r="Z44" s="245">
        <v>71.099999999999994</v>
      </c>
      <c r="AA44" s="245">
        <v>71.099999999999994</v>
      </c>
      <c r="AB44" s="245">
        <v>71.8</v>
      </c>
      <c r="AC44" s="245">
        <v>72.7</v>
      </c>
      <c r="AD44" s="245">
        <v>72.5</v>
      </c>
      <c r="AE44" s="245">
        <v>72.8</v>
      </c>
      <c r="AF44" s="245">
        <v>72.5</v>
      </c>
      <c r="AG44" s="235">
        <v>70</v>
      </c>
      <c r="AH44" s="226">
        <f t="shared" si="2"/>
        <v>72.8</v>
      </c>
      <c r="AI44" s="227">
        <f t="shared" si="3"/>
        <v>60</v>
      </c>
      <c r="AK44" s="228"/>
    </row>
    <row r="45" spans="1:88" x14ac:dyDescent="0.25">
      <c r="A45" s="234" t="s">
        <v>53</v>
      </c>
      <c r="B45" s="245">
        <v>63.7</v>
      </c>
      <c r="C45" s="245">
        <v>63.7</v>
      </c>
      <c r="D45" s="245">
        <v>63.7</v>
      </c>
      <c r="E45" s="245">
        <v>63.7</v>
      </c>
      <c r="F45" s="245">
        <v>63.7</v>
      </c>
      <c r="G45" s="245">
        <v>63.7</v>
      </c>
      <c r="H45" s="245">
        <v>53</v>
      </c>
      <c r="I45" s="245">
        <v>63.7</v>
      </c>
      <c r="J45" s="245">
        <v>63.7</v>
      </c>
      <c r="K45" s="245">
        <v>63.7</v>
      </c>
      <c r="L45" s="245">
        <v>63.7</v>
      </c>
      <c r="M45" s="245">
        <v>63.3</v>
      </c>
      <c r="N45" s="245">
        <v>63.3</v>
      </c>
      <c r="O45" s="245">
        <v>63.3</v>
      </c>
      <c r="P45" s="245">
        <v>63.3</v>
      </c>
      <c r="Q45" s="245">
        <v>63.3</v>
      </c>
      <c r="R45" s="245">
        <v>63.3</v>
      </c>
      <c r="S45" s="245">
        <v>63.3</v>
      </c>
      <c r="T45" s="245">
        <v>63.3</v>
      </c>
      <c r="U45" s="245">
        <v>63.3</v>
      </c>
      <c r="V45" s="245">
        <v>63.3</v>
      </c>
      <c r="W45" s="245">
        <v>63.3</v>
      </c>
      <c r="X45" s="245">
        <v>63.3</v>
      </c>
      <c r="Y45" s="245">
        <v>63.3</v>
      </c>
      <c r="Z45" s="245">
        <v>63.3</v>
      </c>
      <c r="AA45" s="245">
        <v>63.3</v>
      </c>
      <c r="AB45" s="245">
        <v>63.7</v>
      </c>
      <c r="AC45" s="245">
        <v>63.9</v>
      </c>
      <c r="AD45" s="245">
        <v>63.9</v>
      </c>
      <c r="AE45" s="245">
        <v>63.9</v>
      </c>
      <c r="AF45" s="245">
        <v>65.400000000000006</v>
      </c>
      <c r="AG45" s="235">
        <v>69</v>
      </c>
      <c r="AH45" s="226">
        <f t="shared" si="2"/>
        <v>65.400000000000006</v>
      </c>
      <c r="AI45" s="227">
        <f t="shared" si="3"/>
        <v>53</v>
      </c>
      <c r="AK45" s="228"/>
    </row>
    <row r="46" spans="1:88" x14ac:dyDescent="0.25">
      <c r="A46" s="234" t="s">
        <v>54</v>
      </c>
      <c r="B46" s="237">
        <v>60.7</v>
      </c>
      <c r="C46" s="237">
        <v>60.7</v>
      </c>
      <c r="D46" s="237">
        <v>60.7</v>
      </c>
      <c r="E46" s="237">
        <v>60.7</v>
      </c>
      <c r="F46" s="237">
        <v>40.6</v>
      </c>
      <c r="G46" s="237">
        <v>40.6</v>
      </c>
      <c r="H46" s="237">
        <v>40.6</v>
      </c>
      <c r="I46" s="237">
        <v>60</v>
      </c>
      <c r="J46" s="237">
        <v>60</v>
      </c>
      <c r="K46" s="237">
        <v>60</v>
      </c>
      <c r="L46" s="237">
        <v>60</v>
      </c>
      <c r="M46" s="221">
        <v>30.4</v>
      </c>
      <c r="N46" s="221">
        <v>30.4</v>
      </c>
      <c r="O46" s="221">
        <v>30.4</v>
      </c>
      <c r="P46" s="221">
        <v>30.4</v>
      </c>
      <c r="Q46" s="221">
        <v>30.4</v>
      </c>
      <c r="R46" s="221">
        <v>30.4</v>
      </c>
      <c r="S46" s="221">
        <v>30.4</v>
      </c>
      <c r="T46" s="221">
        <v>30.4</v>
      </c>
      <c r="U46" s="221">
        <v>30.4</v>
      </c>
      <c r="V46" s="221">
        <v>30.4</v>
      </c>
      <c r="W46" s="221">
        <v>30.4</v>
      </c>
      <c r="X46" s="221">
        <v>30.4</v>
      </c>
      <c r="Y46" s="221">
        <v>30.4</v>
      </c>
      <c r="Z46" s="221">
        <v>30.4</v>
      </c>
      <c r="AA46" s="221">
        <v>30.4</v>
      </c>
      <c r="AB46" s="237">
        <v>60.7</v>
      </c>
      <c r="AC46" s="237">
        <v>60.7</v>
      </c>
      <c r="AD46" s="237">
        <v>60.7</v>
      </c>
      <c r="AE46" s="237">
        <v>60.7</v>
      </c>
      <c r="AF46" s="237">
        <v>60.4</v>
      </c>
      <c r="AG46" s="235">
        <v>60</v>
      </c>
      <c r="AH46" s="226">
        <f t="shared" si="2"/>
        <v>60.7</v>
      </c>
      <c r="AI46" s="227">
        <f t="shared" si="3"/>
        <v>30.4</v>
      </c>
      <c r="AK46" s="228"/>
    </row>
    <row r="47" spans="1:88" x14ac:dyDescent="0.25">
      <c r="A47" s="234" t="s">
        <v>55</v>
      </c>
      <c r="B47" s="237">
        <v>28.9</v>
      </c>
      <c r="C47" s="237">
        <v>28.9</v>
      </c>
      <c r="D47" s="237">
        <v>28.9</v>
      </c>
      <c r="E47" s="237">
        <v>28.9</v>
      </c>
      <c r="F47" s="237">
        <v>28.9</v>
      </c>
      <c r="G47" s="237">
        <v>28.9</v>
      </c>
      <c r="H47" s="237">
        <v>28.9</v>
      </c>
      <c r="I47" s="237">
        <v>28.9</v>
      </c>
      <c r="J47" s="237">
        <v>28.9</v>
      </c>
      <c r="K47" s="237">
        <v>28.9</v>
      </c>
      <c r="L47" s="237">
        <v>28.9</v>
      </c>
      <c r="M47" s="221">
        <v>28.9</v>
      </c>
      <c r="N47" s="221">
        <v>28.9</v>
      </c>
      <c r="O47" s="221">
        <v>28.9</v>
      </c>
      <c r="P47" s="221">
        <v>28.9</v>
      </c>
      <c r="Q47" s="221">
        <v>28.9</v>
      </c>
      <c r="R47" s="221">
        <v>28.9</v>
      </c>
      <c r="S47" s="221">
        <v>28.9</v>
      </c>
      <c r="T47" s="221">
        <v>28.9</v>
      </c>
      <c r="U47" s="221">
        <v>28.9</v>
      </c>
      <c r="V47" s="221">
        <v>28.9</v>
      </c>
      <c r="W47" s="221">
        <v>28.9</v>
      </c>
      <c r="X47" s="221">
        <v>28.9</v>
      </c>
      <c r="Y47" s="221">
        <v>28.9</v>
      </c>
      <c r="Z47" s="221">
        <v>28.9</v>
      </c>
      <c r="AA47" s="221">
        <v>28.9</v>
      </c>
      <c r="AB47" s="237">
        <v>28.4</v>
      </c>
      <c r="AC47" s="237">
        <v>28.3</v>
      </c>
      <c r="AD47" s="237">
        <v>28.3</v>
      </c>
      <c r="AE47" s="237">
        <v>28.3</v>
      </c>
      <c r="AF47" s="237">
        <v>28.3</v>
      </c>
      <c r="AG47" s="235">
        <v>30</v>
      </c>
      <c r="AH47" s="226">
        <f t="shared" si="2"/>
        <v>28.9</v>
      </c>
      <c r="AI47" s="227">
        <f t="shared" si="3"/>
        <v>28.3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6</v>
      </c>
      <c r="N48" s="221">
        <v>10</v>
      </c>
      <c r="O48" s="221">
        <v>10</v>
      </c>
      <c r="P48" s="221">
        <v>10</v>
      </c>
      <c r="Q48" s="221">
        <v>10</v>
      </c>
      <c r="R48" s="221">
        <v>10</v>
      </c>
      <c r="S48" s="221">
        <v>10</v>
      </c>
      <c r="T48" s="221">
        <v>10</v>
      </c>
      <c r="U48" s="221">
        <v>10</v>
      </c>
      <c r="V48" s="221">
        <v>10</v>
      </c>
      <c r="W48" s="221">
        <v>10</v>
      </c>
      <c r="X48" s="221">
        <v>10</v>
      </c>
      <c r="Y48" s="221">
        <v>10</v>
      </c>
      <c r="Z48" s="221">
        <v>10</v>
      </c>
      <c r="AA48" s="221">
        <v>10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17.5</v>
      </c>
      <c r="C49" s="245">
        <v>17.5</v>
      </c>
      <c r="D49" s="245">
        <v>17.5</v>
      </c>
      <c r="E49" s="245">
        <v>17.5</v>
      </c>
      <c r="F49" s="245">
        <v>17.5</v>
      </c>
      <c r="G49" s="245">
        <v>17.5</v>
      </c>
      <c r="H49" s="245">
        <v>17.5</v>
      </c>
      <c r="I49" s="245">
        <v>17.5</v>
      </c>
      <c r="J49" s="245">
        <v>17.5</v>
      </c>
      <c r="K49" s="245">
        <v>17.5</v>
      </c>
      <c r="L49" s="245">
        <v>17.5</v>
      </c>
      <c r="M49" s="245">
        <v>17.399999999999999</v>
      </c>
      <c r="N49" s="245">
        <v>17.399999999999999</v>
      </c>
      <c r="O49" s="245">
        <v>17.399999999999999</v>
      </c>
      <c r="P49" s="245">
        <v>17.399999999999999</v>
      </c>
      <c r="Q49" s="245">
        <v>17.399999999999999</v>
      </c>
      <c r="R49" s="245">
        <v>17.399999999999999</v>
      </c>
      <c r="S49" s="245">
        <v>17.399999999999999</v>
      </c>
      <c r="T49" s="245">
        <v>17.399999999999999</v>
      </c>
      <c r="U49" s="245">
        <v>17.399999999999999</v>
      </c>
      <c r="V49" s="245">
        <v>17.399999999999999</v>
      </c>
      <c r="W49" s="245">
        <v>17.399999999999999</v>
      </c>
      <c r="X49" s="245">
        <v>17.399999999999999</v>
      </c>
      <c r="Y49" s="245">
        <v>17.399999999999999</v>
      </c>
      <c r="Z49" s="245">
        <v>17.399999999999999</v>
      </c>
      <c r="AA49" s="245">
        <v>17.399999999999999</v>
      </c>
      <c r="AB49" s="245">
        <v>17.3</v>
      </c>
      <c r="AC49" s="245">
        <v>17.399999999999999</v>
      </c>
      <c r="AD49" s="245">
        <v>17.399999999999999</v>
      </c>
      <c r="AE49" s="245">
        <v>17.399999999999999</v>
      </c>
      <c r="AF49" s="245">
        <v>17.399999999999999</v>
      </c>
      <c r="AG49" s="235">
        <v>24</v>
      </c>
      <c r="AH49" s="226">
        <f t="shared" si="2"/>
        <v>17.5</v>
      </c>
      <c r="AI49" s="227">
        <f t="shared" si="3"/>
        <v>17.3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45">
        <v>3</v>
      </c>
      <c r="U50" s="245">
        <v>3</v>
      </c>
      <c r="V50" s="245">
        <v>3</v>
      </c>
      <c r="W50" s="245">
        <v>3</v>
      </c>
      <c r="X50" s="245">
        <v>3</v>
      </c>
      <c r="Y50" s="245">
        <v>3</v>
      </c>
      <c r="Z50" s="245">
        <v>3</v>
      </c>
      <c r="AA50" s="245">
        <v>3</v>
      </c>
      <c r="AB50" s="245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13.5</v>
      </c>
      <c r="C51" s="245">
        <v>13.5</v>
      </c>
      <c r="D51" s="245">
        <v>13.5</v>
      </c>
      <c r="E51" s="245">
        <v>13.5</v>
      </c>
      <c r="F51" s="245">
        <v>13.5</v>
      </c>
      <c r="G51" s="245">
        <v>13.5</v>
      </c>
      <c r="H51" s="245">
        <v>13.5</v>
      </c>
      <c r="I51" s="245">
        <v>13.5</v>
      </c>
      <c r="J51" s="245">
        <v>13.5</v>
      </c>
      <c r="K51" s="245">
        <v>13.5</v>
      </c>
      <c r="L51" s="245">
        <v>13.5</v>
      </c>
      <c r="M51" s="245">
        <v>13</v>
      </c>
      <c r="N51" s="245">
        <v>13</v>
      </c>
      <c r="O51" s="245">
        <v>13</v>
      </c>
      <c r="P51" s="245">
        <v>13</v>
      </c>
      <c r="Q51" s="245">
        <v>13</v>
      </c>
      <c r="R51" s="245">
        <v>13</v>
      </c>
      <c r="S51" s="245">
        <v>13</v>
      </c>
      <c r="T51" s="245">
        <v>13</v>
      </c>
      <c r="U51" s="245">
        <v>13</v>
      </c>
      <c r="V51" s="245">
        <v>13</v>
      </c>
      <c r="W51" s="245">
        <v>13</v>
      </c>
      <c r="X51" s="245">
        <v>13</v>
      </c>
      <c r="Y51" s="245">
        <v>13</v>
      </c>
      <c r="Z51" s="245">
        <v>13</v>
      </c>
      <c r="AA51" s="245">
        <v>13</v>
      </c>
      <c r="AB51" s="245">
        <v>13.9</v>
      </c>
      <c r="AC51" s="245">
        <v>14</v>
      </c>
      <c r="AD51" s="245">
        <v>14</v>
      </c>
      <c r="AE51" s="245">
        <v>14</v>
      </c>
      <c r="AF51" s="245">
        <v>14</v>
      </c>
      <c r="AG51" s="235">
        <v>14.1</v>
      </c>
      <c r="AH51" s="226">
        <f t="shared" si="2"/>
        <v>14</v>
      </c>
      <c r="AI51" s="227">
        <f t="shared" si="3"/>
        <v>13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45">
        <v>14</v>
      </c>
      <c r="N52" s="245">
        <v>7</v>
      </c>
      <c r="O52" s="245">
        <v>14</v>
      </c>
      <c r="P52" s="245">
        <v>14</v>
      </c>
      <c r="Q52" s="245">
        <v>14</v>
      </c>
      <c r="R52" s="245">
        <v>14</v>
      </c>
      <c r="S52" s="245">
        <v>14</v>
      </c>
      <c r="T52" s="245">
        <v>14</v>
      </c>
      <c r="U52" s="245">
        <v>14</v>
      </c>
      <c r="V52" s="245">
        <v>14</v>
      </c>
      <c r="W52" s="245">
        <v>14</v>
      </c>
      <c r="X52" s="245">
        <v>14</v>
      </c>
      <c r="Y52" s="245">
        <v>14</v>
      </c>
      <c r="Z52" s="245">
        <v>14</v>
      </c>
      <c r="AA52" s="245">
        <v>14</v>
      </c>
      <c r="AB52" s="245">
        <v>14</v>
      </c>
      <c r="AC52" s="245">
        <v>14</v>
      </c>
      <c r="AD52" s="245">
        <v>14</v>
      </c>
      <c r="AE52" s="245">
        <v>14</v>
      </c>
      <c r="AF52" s="245">
        <v>14</v>
      </c>
      <c r="AG52" s="235">
        <v>14</v>
      </c>
      <c r="AH52" s="226">
        <f t="shared" si="2"/>
        <v>14</v>
      </c>
      <c r="AI52" s="227">
        <f t="shared" si="3"/>
        <v>7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45">
        <v>10</v>
      </c>
      <c r="S53" s="245">
        <v>10</v>
      </c>
      <c r="T53" s="245">
        <v>10</v>
      </c>
      <c r="U53" s="245">
        <v>10</v>
      </c>
      <c r="V53" s="245">
        <v>10</v>
      </c>
      <c r="W53" s="245">
        <v>10</v>
      </c>
      <c r="X53" s="245">
        <v>10</v>
      </c>
      <c r="Y53" s="245">
        <v>10</v>
      </c>
      <c r="Z53" s="245">
        <v>10</v>
      </c>
      <c r="AA53" s="245">
        <v>10</v>
      </c>
      <c r="AB53" s="245">
        <v>10</v>
      </c>
      <c r="AC53" s="245">
        <v>10</v>
      </c>
      <c r="AD53" s="245">
        <v>10</v>
      </c>
      <c r="AE53" s="245">
        <v>10</v>
      </c>
      <c r="AF53" s="245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45">
        <v>6.2</v>
      </c>
      <c r="V54" s="245">
        <v>6.2</v>
      </c>
      <c r="W54" s="245">
        <v>6.2</v>
      </c>
      <c r="X54" s="245">
        <v>6.2</v>
      </c>
      <c r="Y54" s="245">
        <v>6.2</v>
      </c>
      <c r="Z54" s="245">
        <v>6.2</v>
      </c>
      <c r="AA54" s="245">
        <v>6.2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432.53999999999996</v>
      </c>
      <c r="C56" s="241">
        <f t="shared" ref="C56:AG56" si="6">SUM(C43:C55)</f>
        <v>432.53999999999996</v>
      </c>
      <c r="D56" s="241">
        <f t="shared" si="6"/>
        <v>432.53999999999996</v>
      </c>
      <c r="E56" s="241">
        <f t="shared" si="6"/>
        <v>432.53999999999996</v>
      </c>
      <c r="F56" s="241">
        <f t="shared" si="6"/>
        <v>393.14</v>
      </c>
      <c r="G56" s="241">
        <f t="shared" si="6"/>
        <v>393.14</v>
      </c>
      <c r="H56" s="241">
        <f t="shared" si="6"/>
        <v>371.24</v>
      </c>
      <c r="I56" s="241">
        <f t="shared" si="6"/>
        <v>431.53999999999996</v>
      </c>
      <c r="J56" s="241">
        <f t="shared" si="6"/>
        <v>431.53999999999996</v>
      </c>
      <c r="K56" s="241">
        <f t="shared" si="6"/>
        <v>431.53999999999996</v>
      </c>
      <c r="L56" s="241">
        <f t="shared" si="6"/>
        <v>431.53999999999996</v>
      </c>
      <c r="M56" s="241">
        <f t="shared" si="6"/>
        <v>407.33999999999992</v>
      </c>
      <c r="N56" s="241">
        <f t="shared" si="6"/>
        <v>404.33999999999992</v>
      </c>
      <c r="O56" s="241">
        <f t="shared" si="6"/>
        <v>411.33999999999992</v>
      </c>
      <c r="P56" s="241">
        <f t="shared" si="6"/>
        <v>411.33999999999992</v>
      </c>
      <c r="Q56" s="241">
        <f t="shared" si="6"/>
        <v>411.33999999999992</v>
      </c>
      <c r="R56" s="241">
        <f t="shared" si="6"/>
        <v>411.33999999999992</v>
      </c>
      <c r="S56" s="241">
        <f t="shared" si="6"/>
        <v>411.33999999999992</v>
      </c>
      <c r="T56" s="241">
        <f t="shared" si="6"/>
        <v>411.33999999999992</v>
      </c>
      <c r="U56" s="241">
        <f t="shared" si="6"/>
        <v>411.33999999999992</v>
      </c>
      <c r="V56" s="241">
        <f t="shared" si="6"/>
        <v>411.33999999999992</v>
      </c>
      <c r="W56" s="241">
        <f t="shared" si="6"/>
        <v>411.33999999999992</v>
      </c>
      <c r="X56" s="241">
        <f t="shared" si="6"/>
        <v>411.33999999999992</v>
      </c>
      <c r="Y56" s="241">
        <f t="shared" si="6"/>
        <v>411.33999999999992</v>
      </c>
      <c r="Z56" s="241">
        <f t="shared" si="6"/>
        <v>411.33999999999992</v>
      </c>
      <c r="AA56" s="241">
        <f t="shared" si="6"/>
        <v>411.33999999999992</v>
      </c>
      <c r="AB56" s="241">
        <f t="shared" si="6"/>
        <v>433.53999999999996</v>
      </c>
      <c r="AC56" s="241">
        <f t="shared" si="6"/>
        <v>434.93999999999994</v>
      </c>
      <c r="AD56" s="241">
        <f t="shared" si="6"/>
        <v>434.84</v>
      </c>
      <c r="AE56" s="241">
        <f t="shared" si="6"/>
        <v>435.03999999999996</v>
      </c>
      <c r="AF56" s="241">
        <f t="shared" si="6"/>
        <v>435.94</v>
      </c>
      <c r="AG56" s="242">
        <f t="shared" si="6"/>
        <v>489.91</v>
      </c>
      <c r="AH56" s="226">
        <f t="shared" si="2"/>
        <v>435.94</v>
      </c>
      <c r="AI56" s="227">
        <f t="shared" si="3"/>
        <v>371.24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18</v>
      </c>
      <c r="T57" s="221">
        <v>0</v>
      </c>
      <c r="U57" s="221">
        <v>0</v>
      </c>
      <c r="V57" s="221">
        <v>29.9</v>
      </c>
      <c r="W57" s="221">
        <v>9.6999999999999993</v>
      </c>
      <c r="X57" s="221">
        <v>10</v>
      </c>
      <c r="Y57" s="221">
        <v>44</v>
      </c>
      <c r="Z57" s="221">
        <v>60</v>
      </c>
      <c r="AA57" s="221">
        <v>60</v>
      </c>
      <c r="AB57" s="221">
        <v>50</v>
      </c>
      <c r="AC57" s="221">
        <v>60</v>
      </c>
      <c r="AD57" s="221">
        <v>60</v>
      </c>
      <c r="AE57" s="221">
        <v>20</v>
      </c>
      <c r="AF57" s="221">
        <v>0</v>
      </c>
      <c r="AG57" s="230">
        <v>60</v>
      </c>
      <c r="AH57" s="226">
        <f t="shared" si="2"/>
        <v>60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5</v>
      </c>
      <c r="T58" s="245">
        <v>9.5</v>
      </c>
      <c r="U58" s="245">
        <v>0</v>
      </c>
      <c r="V58" s="245">
        <v>14.01</v>
      </c>
      <c r="W58" s="245">
        <v>14.2</v>
      </c>
      <c r="X58" s="245">
        <v>5</v>
      </c>
      <c r="Y58" s="245">
        <v>12.5</v>
      </c>
      <c r="Z58" s="245">
        <v>30</v>
      </c>
      <c r="AA58" s="245">
        <v>30</v>
      </c>
      <c r="AB58" s="245">
        <v>23.9</v>
      </c>
      <c r="AC58" s="245">
        <v>30.1</v>
      </c>
      <c r="AD58" s="245">
        <v>30.1</v>
      </c>
      <c r="AE58" s="245">
        <v>9.5</v>
      </c>
      <c r="AF58" s="245">
        <v>0</v>
      </c>
      <c r="AG58" s="235">
        <v>32</v>
      </c>
      <c r="AH58" s="226">
        <f t="shared" si="2"/>
        <v>30.1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2</v>
      </c>
      <c r="T59" s="247">
        <v>3.5</v>
      </c>
      <c r="U59" s="247">
        <v>0</v>
      </c>
      <c r="V59" s="247">
        <v>5.2</v>
      </c>
      <c r="W59" s="247">
        <v>5.2</v>
      </c>
      <c r="X59" s="247">
        <v>2</v>
      </c>
      <c r="Y59" s="247">
        <v>4.5999999999999996</v>
      </c>
      <c r="Z59" s="247">
        <v>11</v>
      </c>
      <c r="AA59" s="247">
        <v>11</v>
      </c>
      <c r="AB59" s="247">
        <v>8.6999999999999993</v>
      </c>
      <c r="AC59" s="247">
        <v>11</v>
      </c>
      <c r="AD59" s="247">
        <v>10.7</v>
      </c>
      <c r="AE59" s="247">
        <v>3.5</v>
      </c>
      <c r="AF59" s="247">
        <v>0</v>
      </c>
      <c r="AG59" s="248">
        <v>14</v>
      </c>
      <c r="AH59" s="226">
        <f t="shared" si="2"/>
        <v>11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25</v>
      </c>
      <c r="T60" s="241">
        <f t="shared" si="7"/>
        <v>13</v>
      </c>
      <c r="U60" s="241">
        <f t="shared" si="7"/>
        <v>0</v>
      </c>
      <c r="V60" s="241">
        <f t="shared" si="7"/>
        <v>49.11</v>
      </c>
      <c r="W60" s="241">
        <f t="shared" si="7"/>
        <v>29.099999999999998</v>
      </c>
      <c r="X60" s="241">
        <f t="shared" si="7"/>
        <v>17</v>
      </c>
      <c r="Y60" s="241">
        <f t="shared" si="7"/>
        <v>61.1</v>
      </c>
      <c r="Z60" s="241">
        <f t="shared" si="7"/>
        <v>101</v>
      </c>
      <c r="AA60" s="241">
        <f t="shared" si="7"/>
        <v>101</v>
      </c>
      <c r="AB60" s="241">
        <f t="shared" si="7"/>
        <v>82.600000000000009</v>
      </c>
      <c r="AC60" s="241">
        <f t="shared" si="7"/>
        <v>101.1</v>
      </c>
      <c r="AD60" s="241">
        <f t="shared" si="7"/>
        <v>100.8</v>
      </c>
      <c r="AE60" s="241">
        <f t="shared" si="7"/>
        <v>33</v>
      </c>
      <c r="AF60" s="241">
        <f t="shared" si="7"/>
        <v>0</v>
      </c>
      <c r="AG60" s="242">
        <f t="shared" si="7"/>
        <v>106</v>
      </c>
      <c r="AH60" s="226">
        <f t="shared" si="2"/>
        <v>101.1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0</v>
      </c>
      <c r="T61" s="221">
        <v>0</v>
      </c>
      <c r="U61" s="221">
        <v>0</v>
      </c>
      <c r="V61" s="221">
        <v>0</v>
      </c>
      <c r="W61" s="221">
        <v>0</v>
      </c>
      <c r="X61" s="221">
        <v>0</v>
      </c>
      <c r="Y61" s="221">
        <v>0</v>
      </c>
      <c r="Z61" s="221">
        <v>0</v>
      </c>
      <c r="AA61" s="221">
        <v>0</v>
      </c>
      <c r="AB61" s="221">
        <v>24.7</v>
      </c>
      <c r="AC61" s="221">
        <v>34.299999999999997</v>
      </c>
      <c r="AD61" s="221">
        <v>34.4</v>
      </c>
      <c r="AE61" s="221">
        <v>0</v>
      </c>
      <c r="AF61" s="221">
        <v>0</v>
      </c>
      <c r="AG61" s="230"/>
      <c r="AH61" s="226">
        <f t="shared" si="2"/>
        <v>34.4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-384</v>
      </c>
      <c r="C63" s="245">
        <v>-402</v>
      </c>
      <c r="D63" s="245">
        <v>-416</v>
      </c>
      <c r="E63" s="245">
        <v>-417</v>
      </c>
      <c r="F63" s="245">
        <v>-427</v>
      </c>
      <c r="G63" s="245">
        <v>-456</v>
      </c>
      <c r="H63" s="245">
        <v>-413</v>
      </c>
      <c r="I63" s="245">
        <v>-436</v>
      </c>
      <c r="J63" s="245">
        <f>-401</f>
        <v>-401</v>
      </c>
      <c r="K63" s="245">
        <v>-372</v>
      </c>
      <c r="L63" s="245">
        <v>-391</v>
      </c>
      <c r="M63" s="245">
        <v>-418.3</v>
      </c>
      <c r="N63" s="245">
        <v>-427</v>
      </c>
      <c r="O63" s="245">
        <v>-385</v>
      </c>
      <c r="P63" s="245">
        <v>-406</v>
      </c>
      <c r="Q63" s="245">
        <v>-363.1</v>
      </c>
      <c r="R63" s="245">
        <v>-360</v>
      </c>
      <c r="S63" s="245">
        <v>-351</v>
      </c>
      <c r="T63" s="245">
        <v>-390</v>
      </c>
      <c r="U63" s="245">
        <v>-320</v>
      </c>
      <c r="V63" s="245">
        <v>-368</v>
      </c>
      <c r="W63" s="245">
        <v>-377</v>
      </c>
      <c r="X63" s="245">
        <v>-357</v>
      </c>
      <c r="Y63" s="245">
        <v>-300</v>
      </c>
      <c r="Z63" s="245">
        <v>-99</v>
      </c>
      <c r="AA63" s="245">
        <v>-255</v>
      </c>
      <c r="AB63" s="245">
        <v>-305.2</v>
      </c>
      <c r="AC63" s="245">
        <v>-304.2</v>
      </c>
      <c r="AD63" s="245">
        <v>-308.5</v>
      </c>
      <c r="AE63" s="245">
        <v>-340</v>
      </c>
      <c r="AF63" s="245">
        <v>-400</v>
      </c>
      <c r="AG63" s="255"/>
      <c r="AH63" s="226">
        <f t="shared" si="2"/>
        <v>-99</v>
      </c>
      <c r="AI63" s="227">
        <f t="shared" si="3"/>
        <v>-456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5</v>
      </c>
      <c r="U66" s="257">
        <v>5</v>
      </c>
      <c r="V66" s="257">
        <v>4</v>
      </c>
      <c r="W66" s="257">
        <v>4</v>
      </c>
      <c r="X66" s="257">
        <v>4</v>
      </c>
      <c r="Y66" s="257">
        <v>4</v>
      </c>
      <c r="Z66" s="257">
        <v>4</v>
      </c>
      <c r="AA66" s="257">
        <v>4</v>
      </c>
      <c r="AB66" s="257">
        <v>4</v>
      </c>
      <c r="AC66" s="257">
        <v>4</v>
      </c>
      <c r="AD66" s="257">
        <v>4</v>
      </c>
      <c r="AE66" s="257">
        <v>4</v>
      </c>
      <c r="AF66" s="257">
        <v>4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8">SUMIF(C61:C71,"&gt;0")</f>
        <v>0</v>
      </c>
      <c r="D72" s="241">
        <f t="shared" si="8"/>
        <v>0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0</v>
      </c>
      <c r="S72" s="241">
        <f t="shared" si="9"/>
        <v>0</v>
      </c>
      <c r="T72" s="241">
        <f t="shared" si="9"/>
        <v>5</v>
      </c>
      <c r="U72" s="241">
        <f t="shared" si="9"/>
        <v>5</v>
      </c>
      <c r="V72" s="241">
        <f t="shared" si="9"/>
        <v>4</v>
      </c>
      <c r="W72" s="241">
        <f t="shared" si="9"/>
        <v>4</v>
      </c>
      <c r="X72" s="241">
        <f t="shared" si="9"/>
        <v>4</v>
      </c>
      <c r="Y72" s="241">
        <f t="shared" si="9"/>
        <v>4</v>
      </c>
      <c r="Z72" s="241">
        <f t="shared" si="9"/>
        <v>4</v>
      </c>
      <c r="AA72" s="241">
        <f t="shared" si="9"/>
        <v>4</v>
      </c>
      <c r="AB72" s="241">
        <f t="shared" si="9"/>
        <v>28.7</v>
      </c>
      <c r="AC72" s="241">
        <f t="shared" si="9"/>
        <v>38.299999999999997</v>
      </c>
      <c r="AD72" s="241">
        <f t="shared" si="9"/>
        <v>38.4</v>
      </c>
      <c r="AE72" s="241">
        <f t="shared" si="9"/>
        <v>4</v>
      </c>
      <c r="AF72" s="241">
        <f t="shared" si="9"/>
        <v>4</v>
      </c>
      <c r="AG72" s="261">
        <f>SUM(AG61:AG71)</f>
        <v>0</v>
      </c>
      <c r="AH72" s="226">
        <f t="shared" si="2"/>
        <v>38.4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1738.6399999999999</v>
      </c>
      <c r="C77" s="263">
        <f t="shared" ref="C77:AF77" si="10">C38+C42+C60+C56+C72+C76</f>
        <v>1738.6399999999999</v>
      </c>
      <c r="D77" s="263">
        <f t="shared" si="10"/>
        <v>1719.44</v>
      </c>
      <c r="E77" s="263">
        <f t="shared" si="10"/>
        <v>1719.44</v>
      </c>
      <c r="F77" s="263">
        <f t="shared" si="10"/>
        <v>1680.04</v>
      </c>
      <c r="G77" s="263">
        <f t="shared" si="10"/>
        <v>1680.04</v>
      </c>
      <c r="H77" s="263">
        <f t="shared" si="10"/>
        <v>1658.14</v>
      </c>
      <c r="I77" s="263">
        <f t="shared" si="10"/>
        <v>1718.44</v>
      </c>
      <c r="J77" s="263">
        <f t="shared" si="10"/>
        <v>1718.44</v>
      </c>
      <c r="K77" s="263">
        <f t="shared" si="10"/>
        <v>1737.44</v>
      </c>
      <c r="L77" s="263">
        <f t="shared" si="10"/>
        <v>1761.44</v>
      </c>
      <c r="M77" s="263">
        <f t="shared" si="10"/>
        <v>1761.24</v>
      </c>
      <c r="N77" s="263">
        <f t="shared" si="10"/>
        <v>1742.24</v>
      </c>
      <c r="O77" s="263">
        <f t="shared" si="10"/>
        <v>1727.24</v>
      </c>
      <c r="P77" s="263">
        <f t="shared" si="10"/>
        <v>1757.24</v>
      </c>
      <c r="Q77" s="263">
        <f t="shared" si="10"/>
        <v>1757.24</v>
      </c>
      <c r="R77" s="263">
        <f t="shared" si="10"/>
        <v>1762.24</v>
      </c>
      <c r="S77" s="263">
        <f t="shared" si="10"/>
        <v>1787.24</v>
      </c>
      <c r="T77" s="263">
        <f t="shared" si="10"/>
        <v>1780.24</v>
      </c>
      <c r="U77" s="263">
        <f t="shared" si="10"/>
        <v>1767.24</v>
      </c>
      <c r="V77" s="263">
        <f t="shared" si="10"/>
        <v>1815.35</v>
      </c>
      <c r="W77" s="263">
        <f t="shared" si="10"/>
        <v>1795.34</v>
      </c>
      <c r="X77" s="263">
        <f t="shared" si="10"/>
        <v>1787.24</v>
      </c>
      <c r="Y77" s="263">
        <f t="shared" si="10"/>
        <v>1831.34</v>
      </c>
      <c r="Z77" s="263">
        <f t="shared" si="10"/>
        <v>1781.1399999999999</v>
      </c>
      <c r="AA77" s="263">
        <f t="shared" si="10"/>
        <v>1871.24</v>
      </c>
      <c r="AB77" s="263">
        <f t="shared" si="10"/>
        <v>1899.9399999999998</v>
      </c>
      <c r="AC77" s="263">
        <f t="shared" si="10"/>
        <v>1922.5399999999997</v>
      </c>
      <c r="AD77" s="263">
        <f t="shared" si="10"/>
        <v>1912.24</v>
      </c>
      <c r="AE77" s="263">
        <f t="shared" si="10"/>
        <v>1765.24</v>
      </c>
      <c r="AF77" s="263">
        <f t="shared" si="10"/>
        <v>1740.14</v>
      </c>
      <c r="AG77" s="242">
        <f>AG38+AG42+AG60+AG56+AG72+AG76</f>
        <v>1855.1900000000003</v>
      </c>
      <c r="AH77" s="226">
        <f t="shared" si="2"/>
        <v>1922.5399999999997</v>
      </c>
      <c r="AI77" s="227">
        <f t="shared" si="3"/>
        <v>1658.14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>
        <v>5</v>
      </c>
      <c r="AF78" s="265">
        <v>5</v>
      </c>
      <c r="AG78" s="261"/>
      <c r="AH78" s="226">
        <f t="shared" si="2"/>
        <v>5</v>
      </c>
      <c r="AI78" s="227">
        <f t="shared" si="3"/>
        <v>5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1738.6399999999999</v>
      </c>
      <c r="C79" s="263">
        <f t="shared" ref="C79:AF79" si="11">C77+C78</f>
        <v>1738.6399999999999</v>
      </c>
      <c r="D79" s="263">
        <f t="shared" si="11"/>
        <v>1719.44</v>
      </c>
      <c r="E79" s="263">
        <f t="shared" si="11"/>
        <v>1719.44</v>
      </c>
      <c r="F79" s="263">
        <f t="shared" si="11"/>
        <v>1680.04</v>
      </c>
      <c r="G79" s="263">
        <f t="shared" si="11"/>
        <v>1680.04</v>
      </c>
      <c r="H79" s="263">
        <f t="shared" si="11"/>
        <v>1658.14</v>
      </c>
      <c r="I79" s="263">
        <f t="shared" si="11"/>
        <v>1718.44</v>
      </c>
      <c r="J79" s="263">
        <f t="shared" si="11"/>
        <v>1718.44</v>
      </c>
      <c r="K79" s="263">
        <f t="shared" si="11"/>
        <v>1737.44</v>
      </c>
      <c r="L79" s="263">
        <f t="shared" si="11"/>
        <v>1761.44</v>
      </c>
      <c r="M79" s="263">
        <f t="shared" si="11"/>
        <v>1761.24</v>
      </c>
      <c r="N79" s="263">
        <f t="shared" si="11"/>
        <v>1742.24</v>
      </c>
      <c r="O79" s="263">
        <f t="shared" si="11"/>
        <v>1727.24</v>
      </c>
      <c r="P79" s="263">
        <f t="shared" si="11"/>
        <v>1757.24</v>
      </c>
      <c r="Q79" s="263">
        <f t="shared" si="11"/>
        <v>1757.24</v>
      </c>
      <c r="R79" s="263">
        <f t="shared" si="11"/>
        <v>1762.24</v>
      </c>
      <c r="S79" s="263">
        <f t="shared" si="11"/>
        <v>1787.24</v>
      </c>
      <c r="T79" s="263">
        <f t="shared" si="11"/>
        <v>1780.24</v>
      </c>
      <c r="U79" s="263">
        <f t="shared" si="11"/>
        <v>1767.24</v>
      </c>
      <c r="V79" s="263">
        <f t="shared" si="11"/>
        <v>1815.35</v>
      </c>
      <c r="W79" s="263">
        <f t="shared" si="11"/>
        <v>1795.34</v>
      </c>
      <c r="X79" s="263">
        <f t="shared" si="11"/>
        <v>1787.24</v>
      </c>
      <c r="Y79" s="263">
        <f t="shared" si="11"/>
        <v>1831.34</v>
      </c>
      <c r="Z79" s="263">
        <f t="shared" si="11"/>
        <v>1781.1399999999999</v>
      </c>
      <c r="AA79" s="263">
        <f t="shared" si="11"/>
        <v>1871.24</v>
      </c>
      <c r="AB79" s="263">
        <f t="shared" si="11"/>
        <v>1899.9399999999998</v>
      </c>
      <c r="AC79" s="263">
        <f t="shared" si="11"/>
        <v>1922.5399999999997</v>
      </c>
      <c r="AD79" s="263">
        <f t="shared" si="11"/>
        <v>1912.24</v>
      </c>
      <c r="AE79" s="263">
        <f t="shared" si="11"/>
        <v>1770.24</v>
      </c>
      <c r="AF79" s="263">
        <f t="shared" si="11"/>
        <v>1745.14</v>
      </c>
      <c r="AG79" s="261">
        <f>AG76+AG72+AG60+AG56+AG38+AG78</f>
        <v>1317.0900000000001</v>
      </c>
      <c r="AH79" s="226">
        <f t="shared" si="2"/>
        <v>1922.5399999999997</v>
      </c>
      <c r="AI79" s="227">
        <f t="shared" si="3"/>
        <v>1658.14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1354.6399999999999</v>
      </c>
      <c r="C80" s="263">
        <f t="shared" si="12"/>
        <v>1336.6399999999999</v>
      </c>
      <c r="D80" s="263">
        <f t="shared" si="12"/>
        <v>1303.44</v>
      </c>
      <c r="E80" s="263">
        <f t="shared" si="12"/>
        <v>1302.44</v>
      </c>
      <c r="F80" s="263">
        <f t="shared" si="12"/>
        <v>1253.04</v>
      </c>
      <c r="G80" s="263">
        <f t="shared" si="12"/>
        <v>1224.04</v>
      </c>
      <c r="H80" s="263">
        <f t="shared" si="12"/>
        <v>1245.1400000000001</v>
      </c>
      <c r="I80" s="263">
        <f t="shared" si="12"/>
        <v>1282.44</v>
      </c>
      <c r="J80" s="263">
        <f t="shared" si="12"/>
        <v>1317.44</v>
      </c>
      <c r="K80" s="263">
        <f t="shared" si="12"/>
        <v>1365.44</v>
      </c>
      <c r="L80" s="263">
        <f t="shared" si="12"/>
        <v>1370.44</v>
      </c>
      <c r="M80" s="263">
        <f t="shared" si="12"/>
        <v>1342.94</v>
      </c>
      <c r="N80" s="263">
        <f t="shared" si="12"/>
        <v>1315.24</v>
      </c>
      <c r="O80" s="263">
        <f t="shared" si="12"/>
        <v>1342.24</v>
      </c>
      <c r="P80" s="263">
        <f t="shared" si="12"/>
        <v>1351.24</v>
      </c>
      <c r="Q80" s="263">
        <f t="shared" si="12"/>
        <v>1394.1399999999999</v>
      </c>
      <c r="R80" s="263">
        <f t="shared" si="12"/>
        <v>1402.24</v>
      </c>
      <c r="S80" s="263">
        <f t="shared" si="12"/>
        <v>1436.24</v>
      </c>
      <c r="T80" s="263">
        <f t="shared" si="12"/>
        <v>1390.24</v>
      </c>
      <c r="U80" s="263">
        <f t="shared" si="12"/>
        <v>1447.24</v>
      </c>
      <c r="V80" s="263">
        <f t="shared" si="12"/>
        <v>1447.35</v>
      </c>
      <c r="W80" s="263">
        <f t="shared" si="12"/>
        <v>1418.34</v>
      </c>
      <c r="X80" s="263">
        <f t="shared" si="12"/>
        <v>1430.24</v>
      </c>
      <c r="Y80" s="263">
        <f t="shared" si="12"/>
        <v>1531.34</v>
      </c>
      <c r="Z80" s="263">
        <f t="shared" si="12"/>
        <v>1682.1399999999999</v>
      </c>
      <c r="AA80" s="263">
        <f t="shared" si="12"/>
        <v>1616.24</v>
      </c>
      <c r="AB80" s="263">
        <f t="shared" si="12"/>
        <v>1594.7399999999998</v>
      </c>
      <c r="AC80" s="263">
        <f t="shared" si="12"/>
        <v>1618.3399999999997</v>
      </c>
      <c r="AD80" s="263">
        <f t="shared" si="12"/>
        <v>1603.74</v>
      </c>
      <c r="AE80" s="263">
        <f t="shared" si="12"/>
        <v>1430.24</v>
      </c>
      <c r="AF80" s="263">
        <f t="shared" si="12"/>
        <v>1345.14</v>
      </c>
      <c r="AG80" s="261"/>
      <c r="AH80" s="226">
        <f t="shared" ref="AH80:AH97" si="13">MAX(B80:AF80)</f>
        <v>1682.1399999999999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384</v>
      </c>
      <c r="C84" s="256">
        <f t="shared" ref="C84:AF84" si="18">IF(C63&lt;0,C63*-1,0)</f>
        <v>402</v>
      </c>
      <c r="D84" s="256">
        <f t="shared" si="18"/>
        <v>416</v>
      </c>
      <c r="E84" s="256">
        <f t="shared" si="18"/>
        <v>417</v>
      </c>
      <c r="F84" s="256">
        <f t="shared" si="18"/>
        <v>427</v>
      </c>
      <c r="G84" s="256">
        <f t="shared" si="18"/>
        <v>456</v>
      </c>
      <c r="H84" s="256">
        <f t="shared" si="18"/>
        <v>413</v>
      </c>
      <c r="I84" s="256">
        <f t="shared" si="18"/>
        <v>436</v>
      </c>
      <c r="J84" s="256">
        <f t="shared" si="18"/>
        <v>401</v>
      </c>
      <c r="K84" s="256">
        <f t="shared" si="18"/>
        <v>372</v>
      </c>
      <c r="L84" s="256">
        <f t="shared" si="18"/>
        <v>391</v>
      </c>
      <c r="M84" s="256">
        <f t="shared" si="18"/>
        <v>418.3</v>
      </c>
      <c r="N84" s="256">
        <f t="shared" si="18"/>
        <v>427</v>
      </c>
      <c r="O84" s="256">
        <f t="shared" si="18"/>
        <v>385</v>
      </c>
      <c r="P84" s="256">
        <f t="shared" si="18"/>
        <v>406</v>
      </c>
      <c r="Q84" s="256">
        <f t="shared" si="18"/>
        <v>363.1</v>
      </c>
      <c r="R84" s="256">
        <f t="shared" si="18"/>
        <v>360</v>
      </c>
      <c r="S84" s="256">
        <f t="shared" si="18"/>
        <v>351</v>
      </c>
      <c r="T84" s="256">
        <f t="shared" si="18"/>
        <v>390</v>
      </c>
      <c r="U84" s="256">
        <f t="shared" si="18"/>
        <v>320</v>
      </c>
      <c r="V84" s="256">
        <f t="shared" si="18"/>
        <v>368</v>
      </c>
      <c r="W84" s="256">
        <f t="shared" si="18"/>
        <v>377</v>
      </c>
      <c r="X84" s="256">
        <f t="shared" si="18"/>
        <v>357</v>
      </c>
      <c r="Y84" s="256">
        <f t="shared" si="18"/>
        <v>300</v>
      </c>
      <c r="Z84" s="256">
        <f t="shared" si="18"/>
        <v>99</v>
      </c>
      <c r="AA84" s="256">
        <f t="shared" si="18"/>
        <v>255</v>
      </c>
      <c r="AB84" s="256">
        <f t="shared" si="18"/>
        <v>305.2</v>
      </c>
      <c r="AC84" s="256">
        <f t="shared" si="18"/>
        <v>304.2</v>
      </c>
      <c r="AD84" s="256">
        <f t="shared" si="18"/>
        <v>308.5</v>
      </c>
      <c r="AE84" s="256">
        <f t="shared" si="18"/>
        <v>340</v>
      </c>
      <c r="AF84" s="256">
        <f t="shared" si="18"/>
        <v>400</v>
      </c>
      <c r="AG84" s="266"/>
      <c r="AH84" s="226">
        <f t="shared" si="13"/>
        <v>456</v>
      </c>
      <c r="AI84" s="227">
        <f t="shared" si="15"/>
        <v>99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384</v>
      </c>
      <c r="C87" s="241">
        <f t="shared" ref="C87:AF87" si="20">SUM(C81:C86)</f>
        <v>402</v>
      </c>
      <c r="D87" s="241">
        <f t="shared" si="20"/>
        <v>416</v>
      </c>
      <c r="E87" s="241">
        <f t="shared" si="20"/>
        <v>417</v>
      </c>
      <c r="F87" s="241">
        <f t="shared" si="20"/>
        <v>427</v>
      </c>
      <c r="G87" s="241">
        <f t="shared" si="20"/>
        <v>456</v>
      </c>
      <c r="H87" s="241">
        <f t="shared" si="20"/>
        <v>413</v>
      </c>
      <c r="I87" s="241">
        <f t="shared" si="20"/>
        <v>436</v>
      </c>
      <c r="J87" s="241">
        <f t="shared" si="20"/>
        <v>401</v>
      </c>
      <c r="K87" s="241">
        <f t="shared" si="20"/>
        <v>372</v>
      </c>
      <c r="L87" s="241">
        <f t="shared" si="20"/>
        <v>391</v>
      </c>
      <c r="M87" s="241">
        <f t="shared" si="20"/>
        <v>418.3</v>
      </c>
      <c r="N87" s="241">
        <f t="shared" si="20"/>
        <v>427</v>
      </c>
      <c r="O87" s="241">
        <f t="shared" si="20"/>
        <v>385</v>
      </c>
      <c r="P87" s="241">
        <f t="shared" si="20"/>
        <v>406</v>
      </c>
      <c r="Q87" s="241">
        <f t="shared" si="20"/>
        <v>363.1</v>
      </c>
      <c r="R87" s="241">
        <f t="shared" si="20"/>
        <v>360</v>
      </c>
      <c r="S87" s="241">
        <f t="shared" si="20"/>
        <v>351</v>
      </c>
      <c r="T87" s="241">
        <f t="shared" si="20"/>
        <v>390</v>
      </c>
      <c r="U87" s="241">
        <f t="shared" si="20"/>
        <v>320</v>
      </c>
      <c r="V87" s="241">
        <f t="shared" si="20"/>
        <v>368</v>
      </c>
      <c r="W87" s="241">
        <f t="shared" si="20"/>
        <v>377</v>
      </c>
      <c r="X87" s="241">
        <f t="shared" si="20"/>
        <v>357</v>
      </c>
      <c r="Y87" s="241">
        <f t="shared" si="20"/>
        <v>300</v>
      </c>
      <c r="Z87" s="241">
        <f t="shared" si="20"/>
        <v>99</v>
      </c>
      <c r="AA87" s="241">
        <f t="shared" si="20"/>
        <v>255</v>
      </c>
      <c r="AB87" s="241">
        <f t="shared" si="20"/>
        <v>305.2</v>
      </c>
      <c r="AC87" s="241">
        <f t="shared" si="20"/>
        <v>304.2</v>
      </c>
      <c r="AD87" s="241">
        <f t="shared" si="20"/>
        <v>308.5</v>
      </c>
      <c r="AE87" s="241">
        <f t="shared" si="20"/>
        <v>340</v>
      </c>
      <c r="AF87" s="241">
        <f t="shared" si="20"/>
        <v>400</v>
      </c>
      <c r="AG87" s="261"/>
      <c r="AH87" s="226">
        <f t="shared" si="13"/>
        <v>456</v>
      </c>
      <c r="AI87" s="227">
        <f t="shared" si="15"/>
        <v>99</v>
      </c>
      <c r="AK87" s="228"/>
    </row>
    <row r="88" spans="1:88" s="175" customFormat="1" ht="15.75" thickBot="1" x14ac:dyDescent="0.3">
      <c r="A88" s="254" t="s">
        <v>93</v>
      </c>
      <c r="B88" s="241">
        <f>B72-B87</f>
        <v>-384</v>
      </c>
      <c r="C88" s="241">
        <f t="shared" ref="C88:AF88" si="21">C72-C87</f>
        <v>-402</v>
      </c>
      <c r="D88" s="241">
        <f t="shared" si="21"/>
        <v>-416</v>
      </c>
      <c r="E88" s="241">
        <f t="shared" si="21"/>
        <v>-417</v>
      </c>
      <c r="F88" s="241">
        <f t="shared" si="21"/>
        <v>-427</v>
      </c>
      <c r="G88" s="241">
        <f t="shared" si="21"/>
        <v>-456</v>
      </c>
      <c r="H88" s="241">
        <f t="shared" si="21"/>
        <v>-413</v>
      </c>
      <c r="I88" s="241">
        <f t="shared" si="21"/>
        <v>-436</v>
      </c>
      <c r="J88" s="241">
        <f t="shared" si="21"/>
        <v>-401</v>
      </c>
      <c r="K88" s="241">
        <f t="shared" si="21"/>
        <v>-372</v>
      </c>
      <c r="L88" s="241">
        <f t="shared" si="21"/>
        <v>-391</v>
      </c>
      <c r="M88" s="241">
        <f t="shared" si="21"/>
        <v>-418.3</v>
      </c>
      <c r="N88" s="241">
        <f t="shared" si="21"/>
        <v>-427</v>
      </c>
      <c r="O88" s="241">
        <f t="shared" si="21"/>
        <v>-385</v>
      </c>
      <c r="P88" s="241">
        <f t="shared" si="21"/>
        <v>-406</v>
      </c>
      <c r="Q88" s="241">
        <f t="shared" si="21"/>
        <v>-363.1</v>
      </c>
      <c r="R88" s="241">
        <f t="shared" si="21"/>
        <v>-360</v>
      </c>
      <c r="S88" s="241">
        <f t="shared" si="21"/>
        <v>-351</v>
      </c>
      <c r="T88" s="241">
        <f t="shared" si="21"/>
        <v>-385</v>
      </c>
      <c r="U88" s="241">
        <f t="shared" si="21"/>
        <v>-315</v>
      </c>
      <c r="V88" s="241">
        <f t="shared" si="21"/>
        <v>-364</v>
      </c>
      <c r="W88" s="241">
        <f t="shared" si="21"/>
        <v>-373</v>
      </c>
      <c r="X88" s="241">
        <f t="shared" si="21"/>
        <v>-353</v>
      </c>
      <c r="Y88" s="241">
        <f t="shared" si="21"/>
        <v>-296</v>
      </c>
      <c r="Z88" s="241">
        <f t="shared" si="21"/>
        <v>-95</v>
      </c>
      <c r="AA88" s="241">
        <f t="shared" si="21"/>
        <v>-251</v>
      </c>
      <c r="AB88" s="241">
        <f t="shared" si="21"/>
        <v>-276.5</v>
      </c>
      <c r="AC88" s="241">
        <f t="shared" si="21"/>
        <v>-265.89999999999998</v>
      </c>
      <c r="AD88" s="241">
        <f t="shared" si="21"/>
        <v>-270.10000000000002</v>
      </c>
      <c r="AE88" s="241">
        <f t="shared" si="21"/>
        <v>-336</v>
      </c>
      <c r="AF88" s="241">
        <f t="shared" si="21"/>
        <v>-396</v>
      </c>
      <c r="AG88" s="261"/>
      <c r="AH88" s="226">
        <f t="shared" si="13"/>
        <v>-95</v>
      </c>
      <c r="AI88" s="227">
        <f t="shared" si="15"/>
        <v>-456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49.999000000000002</v>
      </c>
      <c r="C89" s="269">
        <v>49.948999999999998</v>
      </c>
      <c r="D89" s="269">
        <v>49.984000000000002</v>
      </c>
      <c r="E89" s="269">
        <v>50.01</v>
      </c>
      <c r="F89" s="269">
        <v>50.02</v>
      </c>
      <c r="G89" s="269">
        <v>49.98</v>
      </c>
      <c r="H89" s="269">
        <v>50.04</v>
      </c>
      <c r="I89" s="269">
        <v>50</v>
      </c>
      <c r="J89" s="269">
        <v>49.99</v>
      </c>
      <c r="K89" s="269">
        <v>50.02</v>
      </c>
      <c r="L89" s="269">
        <v>49.9</v>
      </c>
      <c r="M89" s="269">
        <v>50.051000000000002</v>
      </c>
      <c r="N89" s="269">
        <v>49.987000000000002</v>
      </c>
      <c r="O89" s="269">
        <v>50.034999999999997</v>
      </c>
      <c r="P89" s="269">
        <v>49.901000000000003</v>
      </c>
      <c r="Q89" s="269">
        <v>49.968000000000004</v>
      </c>
      <c r="R89" s="269">
        <v>49.968000000000004</v>
      </c>
      <c r="S89" s="269">
        <v>49.968000000000004</v>
      </c>
      <c r="T89" s="269">
        <v>49.968000000000004</v>
      </c>
      <c r="U89" s="269">
        <v>49.968000000000004</v>
      </c>
      <c r="V89" s="269">
        <v>49.968000000000004</v>
      </c>
      <c r="W89" s="269">
        <v>50.07</v>
      </c>
      <c r="X89" s="269">
        <v>50.045999999999999</v>
      </c>
      <c r="Y89" s="269">
        <v>50.055999999999997</v>
      </c>
      <c r="Z89" s="269"/>
      <c r="AA89" s="269">
        <v>49.960999999999999</v>
      </c>
      <c r="AB89" s="269">
        <v>50.02</v>
      </c>
      <c r="AC89" s="269">
        <v>50.014000000000003</v>
      </c>
      <c r="AD89" s="269">
        <v>49.953000000000003</v>
      </c>
      <c r="AE89" s="269">
        <v>49.899000000000001</v>
      </c>
      <c r="AF89" s="269">
        <v>49.91</v>
      </c>
      <c r="AG89" s="270"/>
      <c r="AH89" s="226">
        <f t="shared" si="13"/>
        <v>50.07</v>
      </c>
      <c r="AI89" s="227">
        <f t="shared" si="15"/>
        <v>49.899000000000001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</v>
      </c>
      <c r="C90" s="245">
        <v>123</v>
      </c>
      <c r="D90" s="245">
        <v>124</v>
      </c>
      <c r="E90" s="245">
        <v>125.2</v>
      </c>
      <c r="F90" s="245">
        <v>125.2</v>
      </c>
      <c r="G90" s="245">
        <v>125.2</v>
      </c>
      <c r="H90" s="245">
        <v>124.4</v>
      </c>
      <c r="I90" s="245">
        <v>123.7</v>
      </c>
      <c r="J90" s="245">
        <v>123.7</v>
      </c>
      <c r="K90" s="245">
        <v>123.7</v>
      </c>
      <c r="L90" s="245">
        <v>123.7</v>
      </c>
      <c r="M90" s="245">
        <v>123.3</v>
      </c>
      <c r="N90" s="245">
        <v>123.4</v>
      </c>
      <c r="O90" s="245">
        <v>123.4</v>
      </c>
      <c r="P90" s="245">
        <v>123.4</v>
      </c>
      <c r="Q90" s="245">
        <v>121.8</v>
      </c>
      <c r="R90" s="245">
        <v>121.8</v>
      </c>
      <c r="S90" s="245">
        <v>121.8</v>
      </c>
      <c r="T90" s="245">
        <v>121.8</v>
      </c>
      <c r="U90" s="245">
        <v>121.8</v>
      </c>
      <c r="V90" s="245">
        <v>121.8</v>
      </c>
      <c r="W90" s="245">
        <v>127</v>
      </c>
      <c r="X90" s="245">
        <v>124</v>
      </c>
      <c r="Y90" s="245">
        <v>125</v>
      </c>
      <c r="Z90" s="245"/>
      <c r="AA90" s="245">
        <v>127</v>
      </c>
      <c r="AB90" s="245">
        <v>125.8</v>
      </c>
      <c r="AC90" s="245">
        <v>125.8</v>
      </c>
      <c r="AD90" s="245">
        <v>124.3</v>
      </c>
      <c r="AE90" s="245">
        <v>124.1</v>
      </c>
      <c r="AF90" s="245">
        <v>123.9</v>
      </c>
      <c r="AG90" s="272"/>
      <c r="AH90" s="226">
        <f t="shared" si="13"/>
        <v>127</v>
      </c>
      <c r="AI90" s="227">
        <f t="shared" si="15"/>
        <v>121.8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127.6</v>
      </c>
      <c r="C91" s="245">
        <v>127.6</v>
      </c>
      <c r="D91" s="245">
        <v>129</v>
      </c>
      <c r="E91" s="245">
        <v>129.6</v>
      </c>
      <c r="F91" s="245">
        <v>129.6</v>
      </c>
      <c r="G91" s="245">
        <v>129.6</v>
      </c>
      <c r="H91" s="245">
        <v>128.30000000000001</v>
      </c>
      <c r="I91" s="245">
        <v>128</v>
      </c>
      <c r="J91" s="245">
        <v>127.3</v>
      </c>
      <c r="K91" s="245">
        <v>127.3</v>
      </c>
      <c r="L91" s="245">
        <v>127.3</v>
      </c>
      <c r="M91" s="245">
        <v>127.1</v>
      </c>
      <c r="N91" s="245">
        <v>127.1</v>
      </c>
      <c r="O91" s="245">
        <v>126.7</v>
      </c>
      <c r="P91" s="245">
        <v>126.7</v>
      </c>
      <c r="Q91" s="245">
        <v>125.9</v>
      </c>
      <c r="R91" s="245">
        <v>125.9</v>
      </c>
      <c r="S91" s="245">
        <v>125.9</v>
      </c>
      <c r="T91" s="245">
        <v>125.9</v>
      </c>
      <c r="U91" s="245">
        <v>125.9</v>
      </c>
      <c r="V91" s="245">
        <v>125.9</v>
      </c>
      <c r="W91" s="245">
        <v>129</v>
      </c>
      <c r="X91" s="245">
        <v>128</v>
      </c>
      <c r="Y91" s="245">
        <v>128</v>
      </c>
      <c r="Z91" s="245"/>
      <c r="AA91" s="245">
        <v>130</v>
      </c>
      <c r="AB91" s="245">
        <v>129.5</v>
      </c>
      <c r="AC91" s="245">
        <v>129.80000000000001</v>
      </c>
      <c r="AD91" s="245">
        <v>128.80000000000001</v>
      </c>
      <c r="AE91" s="245">
        <v>129.19999999999999</v>
      </c>
      <c r="AF91" s="245">
        <v>129.19999999999999</v>
      </c>
      <c r="AG91" s="272"/>
      <c r="AH91" s="226">
        <f t="shared" si="13"/>
        <v>130</v>
      </c>
      <c r="AI91" s="227">
        <f t="shared" si="15"/>
        <v>125.9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</v>
      </c>
      <c r="C92" s="245">
        <v>129</v>
      </c>
      <c r="D92" s="245">
        <v>129</v>
      </c>
      <c r="E92" s="245">
        <v>131.19999999999999</v>
      </c>
      <c r="F92" s="245">
        <v>131.19999999999999</v>
      </c>
      <c r="G92" s="245">
        <v>131.19999999999999</v>
      </c>
      <c r="H92" s="245">
        <v>130.69999999999999</v>
      </c>
      <c r="I92" s="245">
        <v>126.8</v>
      </c>
      <c r="J92" s="245">
        <v>128.5</v>
      </c>
      <c r="K92" s="245">
        <v>128.5</v>
      </c>
      <c r="L92" s="245">
        <v>128.5</v>
      </c>
      <c r="M92" s="245">
        <v>130</v>
      </c>
      <c r="N92" s="245">
        <v>130</v>
      </c>
      <c r="O92" s="245">
        <v>128.6</v>
      </c>
      <c r="P92" s="245">
        <v>128.6</v>
      </c>
      <c r="Q92" s="245">
        <v>129.6</v>
      </c>
      <c r="R92" s="245">
        <v>129.6</v>
      </c>
      <c r="S92" s="245">
        <v>129.6</v>
      </c>
      <c r="T92" s="245">
        <v>129.6</v>
      </c>
      <c r="U92" s="245">
        <v>129.6</v>
      </c>
      <c r="V92" s="245">
        <v>129.6</v>
      </c>
      <c r="W92" s="245">
        <v>130</v>
      </c>
      <c r="X92" s="245">
        <v>129</v>
      </c>
      <c r="Y92" s="245">
        <v>128</v>
      </c>
      <c r="Z92" s="245"/>
      <c r="AA92" s="245">
        <v>130</v>
      </c>
      <c r="AB92" s="245">
        <v>128.80000000000001</v>
      </c>
      <c r="AC92" s="245">
        <v>127.6</v>
      </c>
      <c r="AD92" s="245">
        <v>127.7</v>
      </c>
      <c r="AE92" s="245">
        <v>130.19999999999999</v>
      </c>
      <c r="AF92" s="245">
        <v>130.9</v>
      </c>
      <c r="AG92" s="272"/>
      <c r="AH92" s="226">
        <f t="shared" si="13"/>
        <v>131.19999999999999</v>
      </c>
      <c r="AI92" s="227">
        <f t="shared" si="15"/>
        <v>126.8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</v>
      </c>
      <c r="C93" s="245">
        <v>133</v>
      </c>
      <c r="D93" s="245">
        <v>132</v>
      </c>
      <c r="E93" s="245">
        <v>133.30000000000001</v>
      </c>
      <c r="F93" s="245">
        <v>133.30000000000001</v>
      </c>
      <c r="G93" s="245">
        <v>133.30000000000001</v>
      </c>
      <c r="H93" s="245">
        <v>133.30000000000001</v>
      </c>
      <c r="I93" s="245">
        <v>129</v>
      </c>
      <c r="J93" s="245">
        <v>131.4</v>
      </c>
      <c r="K93" s="245">
        <v>131.4</v>
      </c>
      <c r="L93" s="245">
        <v>131.4</v>
      </c>
      <c r="M93" s="245">
        <v>132.80000000000001</v>
      </c>
      <c r="N93" s="245">
        <v>132.4</v>
      </c>
      <c r="O93" s="245">
        <v>131</v>
      </c>
      <c r="P93" s="245">
        <v>131</v>
      </c>
      <c r="Q93" s="245">
        <v>133</v>
      </c>
      <c r="R93" s="245">
        <v>133</v>
      </c>
      <c r="S93" s="245">
        <v>133</v>
      </c>
      <c r="T93" s="245">
        <v>133</v>
      </c>
      <c r="U93" s="245">
        <v>133</v>
      </c>
      <c r="V93" s="245">
        <v>133</v>
      </c>
      <c r="W93" s="245">
        <v>133</v>
      </c>
      <c r="X93" s="245">
        <v>133</v>
      </c>
      <c r="Y93" s="245">
        <v>131</v>
      </c>
      <c r="Z93" s="245"/>
      <c r="AA93" s="245">
        <v>134</v>
      </c>
      <c r="AB93" s="245">
        <v>130.69999999999999</v>
      </c>
      <c r="AC93" s="245">
        <v>128.80000000000001</v>
      </c>
      <c r="AD93" s="245">
        <v>130.19999999999999</v>
      </c>
      <c r="AE93" s="245">
        <v>133.9</v>
      </c>
      <c r="AF93" s="245">
        <v>134.30000000000001</v>
      </c>
      <c r="AG93" s="272"/>
      <c r="AH93" s="226">
        <f t="shared" si="13"/>
        <v>134.30000000000001</v>
      </c>
      <c r="AI93" s="227">
        <f t="shared" si="15"/>
        <v>128.80000000000001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131.9</v>
      </c>
      <c r="C94" s="274">
        <v>131.9</v>
      </c>
      <c r="D94" s="274">
        <v>130.9</v>
      </c>
      <c r="E94" s="274">
        <v>132</v>
      </c>
      <c r="F94" s="274">
        <v>132</v>
      </c>
      <c r="G94" s="274">
        <v>132</v>
      </c>
      <c r="H94" s="274">
        <v>132</v>
      </c>
      <c r="I94" s="274">
        <v>133.6</v>
      </c>
      <c r="J94" s="274">
        <v>134.4</v>
      </c>
      <c r="K94" s="274">
        <v>134.4</v>
      </c>
      <c r="L94" s="274">
        <v>134.4</v>
      </c>
      <c r="M94" s="274">
        <v>135.4</v>
      </c>
      <c r="N94" s="274">
        <v>132.30000000000001</v>
      </c>
      <c r="O94" s="274">
        <v>134.5</v>
      </c>
      <c r="P94" s="274">
        <v>134.5</v>
      </c>
      <c r="Q94" s="274">
        <v>134.9</v>
      </c>
      <c r="R94" s="274">
        <v>134.9</v>
      </c>
      <c r="S94" s="274">
        <v>134.9</v>
      </c>
      <c r="T94" s="274">
        <v>134.9</v>
      </c>
      <c r="U94" s="274">
        <v>134.9</v>
      </c>
      <c r="V94" s="274">
        <v>134.9</v>
      </c>
      <c r="W94" s="274">
        <v>133</v>
      </c>
      <c r="X94" s="274">
        <v>132</v>
      </c>
      <c r="Y94" s="274">
        <v>131</v>
      </c>
      <c r="Z94" s="274"/>
      <c r="AA94" s="274">
        <v>133</v>
      </c>
      <c r="AB94" s="274">
        <v>131.1</v>
      </c>
      <c r="AC94" s="274">
        <v>133.30000000000001</v>
      </c>
      <c r="AD94" s="274">
        <v>131.6</v>
      </c>
      <c r="AE94" s="274">
        <v>135.69999999999999</v>
      </c>
      <c r="AF94" s="274">
        <v>136</v>
      </c>
      <c r="AG94" s="275"/>
      <c r="AH94" s="226">
        <f t="shared" si="13"/>
        <v>136</v>
      </c>
      <c r="AI94" s="227">
        <f t="shared" si="15"/>
        <v>130.9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127</v>
      </c>
      <c r="C95" s="245">
        <v>127</v>
      </c>
      <c r="D95" s="245">
        <v>125</v>
      </c>
      <c r="E95" s="245">
        <v>128.80000000000001</v>
      </c>
      <c r="F95" s="245">
        <v>128.80000000000001</v>
      </c>
      <c r="G95" s="245">
        <v>128.80000000000001</v>
      </c>
      <c r="H95" s="245">
        <v>128.80000000000001</v>
      </c>
      <c r="I95" s="245">
        <v>131.9</v>
      </c>
      <c r="J95" s="245">
        <v>132.6</v>
      </c>
      <c r="K95" s="245">
        <v>132.6</v>
      </c>
      <c r="L95" s="245">
        <v>128.9</v>
      </c>
      <c r="M95" s="245">
        <v>131.6</v>
      </c>
      <c r="N95" s="245">
        <v>127.3</v>
      </c>
      <c r="O95" s="245">
        <v>134.5</v>
      </c>
      <c r="P95" s="245">
        <v>134.5</v>
      </c>
      <c r="Q95" s="245">
        <v>128</v>
      </c>
      <c r="R95" s="245">
        <v>128</v>
      </c>
      <c r="S95" s="245">
        <v>128</v>
      </c>
      <c r="T95" s="245">
        <v>128</v>
      </c>
      <c r="U95" s="245">
        <v>128</v>
      </c>
      <c r="V95" s="245">
        <v>128</v>
      </c>
      <c r="W95" s="245">
        <v>126</v>
      </c>
      <c r="X95" s="245">
        <v>127</v>
      </c>
      <c r="Y95" s="245">
        <v>121</v>
      </c>
      <c r="Z95" s="245"/>
      <c r="AA95" s="245">
        <v>129</v>
      </c>
      <c r="AB95" s="245">
        <v>127.8</v>
      </c>
      <c r="AC95" s="245">
        <v>128.5</v>
      </c>
      <c r="AD95" s="245">
        <v>125.7</v>
      </c>
      <c r="AE95" s="245">
        <v>133.1</v>
      </c>
      <c r="AF95" s="245">
        <v>133.30000000000001</v>
      </c>
      <c r="AG95" s="272"/>
      <c r="AH95" s="226">
        <f t="shared" si="13"/>
        <v>134.5</v>
      </c>
      <c r="AI95" s="227">
        <f t="shared" si="15"/>
        <v>121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64.3</v>
      </c>
      <c r="C96" s="276">
        <v>64.3</v>
      </c>
      <c r="D96" s="276">
        <v>64.900000000000006</v>
      </c>
      <c r="E96" s="276">
        <v>65.5</v>
      </c>
      <c r="F96" s="276">
        <v>65.7</v>
      </c>
      <c r="G96" s="276">
        <v>65.400000000000006</v>
      </c>
      <c r="H96" s="276">
        <v>64.599999999999994</v>
      </c>
      <c r="I96" s="276">
        <v>64.900000000000006</v>
      </c>
      <c r="J96" s="276">
        <v>64.099999999999994</v>
      </c>
      <c r="K96" s="276">
        <v>63.4</v>
      </c>
      <c r="L96" s="276">
        <v>63.4</v>
      </c>
      <c r="M96" s="276">
        <v>64.3</v>
      </c>
      <c r="N96" s="276">
        <v>64</v>
      </c>
      <c r="O96" s="276">
        <v>63.2</v>
      </c>
      <c r="P96" s="276">
        <v>63.2</v>
      </c>
      <c r="Q96" s="276">
        <v>63</v>
      </c>
      <c r="R96" s="276">
        <v>63</v>
      </c>
      <c r="S96" s="276">
        <v>63</v>
      </c>
      <c r="T96" s="276">
        <v>63</v>
      </c>
      <c r="U96" s="276">
        <v>63</v>
      </c>
      <c r="V96" s="276">
        <v>63</v>
      </c>
      <c r="W96" s="276">
        <v>65</v>
      </c>
      <c r="X96" s="276">
        <v>65</v>
      </c>
      <c r="Y96" s="276">
        <v>65</v>
      </c>
      <c r="Z96" s="276"/>
      <c r="AA96" s="276">
        <v>65.5</v>
      </c>
      <c r="AB96" s="276">
        <v>65.2</v>
      </c>
      <c r="AC96" s="276">
        <v>64.8</v>
      </c>
      <c r="AD96" s="276">
        <v>64.7</v>
      </c>
      <c r="AE96" s="276">
        <v>65.3</v>
      </c>
      <c r="AF96" s="276">
        <v>65.099999999999994</v>
      </c>
      <c r="AG96" s="277"/>
      <c r="AH96" s="226">
        <f t="shared" si="13"/>
        <v>65.7</v>
      </c>
      <c r="AI96" s="227">
        <f t="shared" si="15"/>
        <v>63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44.999999999999986</v>
      </c>
      <c r="C98" s="280">
        <f t="shared" si="22"/>
        <v>32.539999999999978</v>
      </c>
      <c r="D98" s="280">
        <f t="shared" si="22"/>
        <v>21.239999999999984</v>
      </c>
      <c r="E98" s="280">
        <f t="shared" si="22"/>
        <v>38.939999999999991</v>
      </c>
      <c r="F98" s="280">
        <f t="shared" si="22"/>
        <v>19.84</v>
      </c>
      <c r="G98" s="280">
        <f t="shared" si="22"/>
        <v>24.740000000000006</v>
      </c>
      <c r="H98" s="280">
        <f t="shared" si="22"/>
        <v>33.639999999999993</v>
      </c>
      <c r="I98" s="280">
        <f t="shared" si="22"/>
        <v>82.14</v>
      </c>
      <c r="J98" s="280">
        <f t="shared" si="22"/>
        <v>160.63999999999999</v>
      </c>
      <c r="K98" s="280">
        <f t="shared" si="22"/>
        <v>112.54</v>
      </c>
      <c r="L98" s="280">
        <f t="shared" si="22"/>
        <v>125.84</v>
      </c>
      <c r="M98" s="280">
        <f t="shared" si="22"/>
        <v>141.84</v>
      </c>
      <c r="N98" s="280">
        <f t="shared" si="22"/>
        <v>137.24</v>
      </c>
      <c r="O98" s="280">
        <f t="shared" si="22"/>
        <v>147.84000000000003</v>
      </c>
      <c r="P98" s="280">
        <f t="shared" si="22"/>
        <v>151.13999999999999</v>
      </c>
      <c r="Q98" s="280">
        <f t="shared" si="22"/>
        <v>152.90000000000003</v>
      </c>
      <c r="R98" s="280">
        <f t="shared" si="22"/>
        <v>152.90000000000003</v>
      </c>
      <c r="S98" s="280">
        <f t="shared" si="22"/>
        <v>193.8</v>
      </c>
      <c r="T98" s="280">
        <f t="shared" si="22"/>
        <v>193.8</v>
      </c>
      <c r="U98" s="280">
        <f t="shared" si="22"/>
        <v>174.8</v>
      </c>
      <c r="V98" s="280">
        <f t="shared" si="22"/>
        <v>199.8</v>
      </c>
      <c r="W98" s="280">
        <f t="shared" si="22"/>
        <v>195.8</v>
      </c>
      <c r="X98" s="280">
        <f t="shared" si="22"/>
        <v>204.8</v>
      </c>
      <c r="Y98" s="280">
        <f t="shared" si="22"/>
        <v>252.8</v>
      </c>
      <c r="Z98" s="280">
        <f t="shared" si="22"/>
        <v>130.80000000000001</v>
      </c>
      <c r="AA98" s="280">
        <f t="shared" si="22"/>
        <v>279.8</v>
      </c>
      <c r="AB98" s="280">
        <f t="shared" si="22"/>
        <v>204.8</v>
      </c>
      <c r="AC98" s="280">
        <f t="shared" si="22"/>
        <v>229.3</v>
      </c>
      <c r="AD98" s="280">
        <f t="shared" si="22"/>
        <v>168.9</v>
      </c>
      <c r="AE98" s="280">
        <f t="shared" si="22"/>
        <v>59.899999999999977</v>
      </c>
      <c r="AF98" s="280">
        <f t="shared" si="22"/>
        <v>19.499999999999989</v>
      </c>
      <c r="AG98" s="281"/>
      <c r="AH98" s="226">
        <f>MAX(C98:AF98)</f>
        <v>279.8</v>
      </c>
      <c r="AI98" s="227">
        <f>MIN(C98:AF98)</f>
        <v>19.499999999999989</v>
      </c>
    </row>
    <row r="99" spans="1:37" x14ac:dyDescent="0.25">
      <c r="A99" s="268" t="s">
        <v>103</v>
      </c>
      <c r="B99" s="282">
        <v>10.5</v>
      </c>
      <c r="C99" s="282">
        <v>11.7</v>
      </c>
      <c r="D99" s="282">
        <v>11.6</v>
      </c>
      <c r="E99" s="282">
        <v>8.3000000000000007</v>
      </c>
      <c r="F99" s="282">
        <v>9.3000000000000007</v>
      </c>
      <c r="G99" s="282">
        <v>12.8</v>
      </c>
      <c r="H99" s="282">
        <v>20</v>
      </c>
      <c r="I99" s="282">
        <v>21.6</v>
      </c>
      <c r="J99" s="282">
        <v>26</v>
      </c>
      <c r="K99" s="282">
        <v>25.4</v>
      </c>
      <c r="L99" s="282">
        <v>33.5</v>
      </c>
      <c r="M99" s="282">
        <v>37.700000000000003</v>
      </c>
      <c r="N99" s="282">
        <v>33.200000000000003</v>
      </c>
      <c r="O99" s="282">
        <v>32.4</v>
      </c>
      <c r="P99" s="282">
        <v>31.2</v>
      </c>
      <c r="Q99" s="282">
        <v>26.4</v>
      </c>
      <c r="R99" s="282">
        <v>26.4</v>
      </c>
      <c r="S99" s="282">
        <f>45+26</f>
        <v>71</v>
      </c>
      <c r="T99" s="282">
        <f>45+26</f>
        <v>71</v>
      </c>
      <c r="U99" s="282"/>
      <c r="V99" s="282">
        <v>68</v>
      </c>
      <c r="W99" s="282">
        <f>43+27</f>
        <v>70</v>
      </c>
      <c r="X99" s="282">
        <v>71</v>
      </c>
      <c r="Y99" s="282">
        <f>29+18</f>
        <v>47</v>
      </c>
      <c r="Z99" s="282"/>
      <c r="AA99" s="282">
        <f>36+23</f>
        <v>59</v>
      </c>
      <c r="AB99" s="282">
        <v>16.899999999999999</v>
      </c>
      <c r="AC99" s="282">
        <v>15.5</v>
      </c>
      <c r="AD99" s="282">
        <v>14</v>
      </c>
      <c r="AE99" s="282">
        <v>15.1</v>
      </c>
      <c r="AF99" s="282">
        <v>15.2</v>
      </c>
      <c r="AG99" s="283">
        <v>75</v>
      </c>
      <c r="AH99" s="226">
        <f t="shared" ref="AH99:AH106" si="23">IF(ABS(MAX(C99:AF99))&gt;ABS(MIN(C99:AF99)),MAX(C99:AF99),MIN(C99:AF99))</f>
        <v>71</v>
      </c>
      <c r="AI99" s="284">
        <f t="shared" ref="AI99:AI106" si="24">INDEX($C$9:$AF$9,1,MATCH(AH99,C99:AF99,0))</f>
        <v>0.58333333333333304</v>
      </c>
    </row>
    <row r="100" spans="1:37" x14ac:dyDescent="0.25">
      <c r="A100" s="271" t="s">
        <v>104</v>
      </c>
      <c r="B100" s="285">
        <v>-131</v>
      </c>
      <c r="C100" s="285">
        <v>-145</v>
      </c>
      <c r="D100" s="285">
        <v>-147</v>
      </c>
      <c r="E100" s="285">
        <f>-62.4-66.5</f>
        <v>-128.9</v>
      </c>
      <c r="F100" s="285">
        <f>-62.4-66.5</f>
        <v>-128.9</v>
      </c>
      <c r="G100" s="285">
        <f>-61.1-65.9</f>
        <v>-127</v>
      </c>
      <c r="H100" s="285">
        <f>-61.1-65.9</f>
        <v>-127</v>
      </c>
      <c r="I100" s="285">
        <f>-49-52.8</f>
        <v>-101.8</v>
      </c>
      <c r="J100" s="285">
        <f>-3.5-33</f>
        <v>-36.5</v>
      </c>
      <c r="K100" s="285">
        <f>-41.6-44.6</f>
        <v>-86.2</v>
      </c>
      <c r="L100" s="285">
        <f>-44.7-47.8</f>
        <v>-92.5</v>
      </c>
      <c r="M100" s="285">
        <v>-101.2</v>
      </c>
      <c r="N100" s="285">
        <v>-95</v>
      </c>
      <c r="O100" s="285">
        <v>-91</v>
      </c>
      <c r="P100" s="285">
        <v>-98</v>
      </c>
      <c r="Q100" s="285">
        <v>-100</v>
      </c>
      <c r="R100" s="285">
        <v>-100</v>
      </c>
      <c r="S100" s="285">
        <f>-33-38</f>
        <v>-71</v>
      </c>
      <c r="T100" s="285">
        <f>-33-38</f>
        <v>-71</v>
      </c>
      <c r="U100" s="285"/>
      <c r="V100" s="285">
        <v>-69</v>
      </c>
      <c r="W100" s="285">
        <f>-30-36</f>
        <v>-66</v>
      </c>
      <c r="X100" s="285">
        <v>-56</v>
      </c>
      <c r="Y100" s="285">
        <v>-66</v>
      </c>
      <c r="Z100" s="285"/>
      <c r="AA100" s="285">
        <v>-24</v>
      </c>
      <c r="AB100" s="285">
        <v>-88.6</v>
      </c>
      <c r="AC100" s="285">
        <v>-69.400000000000006</v>
      </c>
      <c r="AD100" s="285">
        <v>-82.3</v>
      </c>
      <c r="AE100" s="285">
        <v>-142.30000000000001</v>
      </c>
      <c r="AF100" s="285">
        <v>-152.30000000000001</v>
      </c>
      <c r="AG100" s="283">
        <v>240</v>
      </c>
      <c r="AH100" s="226">
        <f t="shared" si="23"/>
        <v>-152.30000000000001</v>
      </c>
      <c r="AI100" s="284">
        <f t="shared" si="24"/>
        <v>0.95833333333333304</v>
      </c>
    </row>
    <row r="101" spans="1:37" x14ac:dyDescent="0.25">
      <c r="A101" s="271" t="s">
        <v>105</v>
      </c>
      <c r="B101" s="285">
        <v>-7.2</v>
      </c>
      <c r="C101" s="285">
        <v>-7.8</v>
      </c>
      <c r="D101" s="285">
        <v>-10</v>
      </c>
      <c r="E101" s="285">
        <v>-7.1</v>
      </c>
      <c r="F101" s="285">
        <v>-7.1</v>
      </c>
      <c r="G101" s="285">
        <v>-7.6</v>
      </c>
      <c r="H101" s="285">
        <v>-5.9</v>
      </c>
      <c r="I101" s="285">
        <v>-3.6</v>
      </c>
      <c r="J101" s="285">
        <v>5.2</v>
      </c>
      <c r="K101" s="285">
        <v>2.4</v>
      </c>
      <c r="L101" s="285">
        <v>3.9</v>
      </c>
      <c r="M101" s="285">
        <v>4.3</v>
      </c>
      <c r="N101" s="285">
        <v>3.9</v>
      </c>
      <c r="O101" s="285">
        <v>5.7</v>
      </c>
      <c r="P101" s="285">
        <v>4.8</v>
      </c>
      <c r="Q101" s="285">
        <v>4.4000000000000004</v>
      </c>
      <c r="R101" s="285">
        <v>4.4000000000000004</v>
      </c>
      <c r="S101" s="285">
        <v>19</v>
      </c>
      <c r="T101" s="285">
        <v>19</v>
      </c>
      <c r="U101" s="285"/>
      <c r="V101" s="285">
        <v>26</v>
      </c>
      <c r="W101" s="285">
        <v>17</v>
      </c>
      <c r="X101" s="285">
        <v>15</v>
      </c>
      <c r="Y101" s="285">
        <v>37</v>
      </c>
      <c r="Z101" s="285"/>
      <c r="AA101" s="285">
        <v>52</v>
      </c>
      <c r="AB101" s="285">
        <v>36.9</v>
      </c>
      <c r="AC101" s="285">
        <v>43.4</v>
      </c>
      <c r="AD101" s="285">
        <v>41.1</v>
      </c>
      <c r="AE101" s="285">
        <v>-9</v>
      </c>
      <c r="AF101" s="285">
        <v>-9.1999999999999993</v>
      </c>
      <c r="AG101" s="283">
        <v>60</v>
      </c>
      <c r="AH101" s="226">
        <f t="shared" si="23"/>
        <v>52</v>
      </c>
      <c r="AI101" s="284">
        <f t="shared" si="24"/>
        <v>0.8125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29.3</v>
      </c>
      <c r="N102" s="287">
        <v>29.4</v>
      </c>
      <c r="O102" s="287">
        <v>40</v>
      </c>
      <c r="P102" s="287">
        <v>37.4</v>
      </c>
      <c r="Q102" s="287">
        <v>47.3</v>
      </c>
      <c r="R102" s="287">
        <v>47.3</v>
      </c>
      <c r="S102" s="287">
        <v>0</v>
      </c>
      <c r="T102" s="287">
        <v>0</v>
      </c>
      <c r="U102" s="287"/>
      <c r="V102" s="287">
        <v>0</v>
      </c>
      <c r="W102" s="287">
        <v>0</v>
      </c>
      <c r="X102" s="287">
        <v>0</v>
      </c>
      <c r="Y102" s="287">
        <v>60</v>
      </c>
      <c r="Z102" s="287"/>
      <c r="AA102" s="287">
        <v>18</v>
      </c>
      <c r="AB102" s="287">
        <v>43.7</v>
      </c>
      <c r="AC102" s="287">
        <v>43.7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60</v>
      </c>
      <c r="AI102" s="284">
        <f t="shared" si="24"/>
        <v>0.77083333333333337</v>
      </c>
    </row>
    <row r="103" spans="1:37" x14ac:dyDescent="0.25">
      <c r="A103" s="286" t="s">
        <v>107</v>
      </c>
      <c r="B103" s="287">
        <v>47.7</v>
      </c>
      <c r="C103" s="287">
        <v>34</v>
      </c>
      <c r="D103" s="287">
        <v>33</v>
      </c>
      <c r="E103" s="287">
        <v>40.299999999999997</v>
      </c>
      <c r="F103" s="287">
        <v>40.299999999999997</v>
      </c>
      <c r="G103" s="287">
        <v>29</v>
      </c>
      <c r="H103" s="287">
        <v>29</v>
      </c>
      <c r="I103" s="287">
        <v>43.1</v>
      </c>
      <c r="J103" s="287">
        <v>59.9</v>
      </c>
      <c r="K103" s="287">
        <v>51.9</v>
      </c>
      <c r="L103" s="287">
        <v>51.9</v>
      </c>
      <c r="M103" s="287">
        <v>28.1</v>
      </c>
      <c r="N103" s="287">
        <v>27.7</v>
      </c>
      <c r="O103" s="287">
        <v>32.9</v>
      </c>
      <c r="P103" s="287">
        <v>34.4</v>
      </c>
      <c r="Q103" s="287">
        <v>50.5</v>
      </c>
      <c r="R103" s="287">
        <v>50.5</v>
      </c>
      <c r="S103" s="287">
        <v>66</v>
      </c>
      <c r="T103" s="287">
        <v>66</v>
      </c>
      <c r="U103" s="287"/>
      <c r="V103" s="287">
        <v>47</v>
      </c>
      <c r="W103" s="287">
        <v>48</v>
      </c>
      <c r="X103" s="287">
        <v>60</v>
      </c>
      <c r="Y103" s="287">
        <v>49</v>
      </c>
      <c r="Z103" s="287"/>
      <c r="AA103" s="287">
        <v>67</v>
      </c>
      <c r="AB103" s="287">
        <v>46.2</v>
      </c>
      <c r="AC103" s="287">
        <v>61</v>
      </c>
      <c r="AD103" s="287">
        <v>59.2</v>
      </c>
      <c r="AE103" s="287">
        <v>61.26</v>
      </c>
      <c r="AF103" s="287">
        <v>42.3</v>
      </c>
      <c r="AG103" s="288"/>
      <c r="AH103" s="226">
        <f t="shared" si="23"/>
        <v>67</v>
      </c>
      <c r="AI103" s="284">
        <f t="shared" si="24"/>
        <v>0.8125</v>
      </c>
    </row>
    <row r="104" spans="1:37" x14ac:dyDescent="0.25">
      <c r="A104" s="286" t="s">
        <v>108</v>
      </c>
      <c r="B104" s="287">
        <v>58.3</v>
      </c>
      <c r="C104" s="287">
        <v>45.2</v>
      </c>
      <c r="D104" s="287">
        <v>48.8</v>
      </c>
      <c r="E104" s="287">
        <v>53.5</v>
      </c>
      <c r="F104" s="287">
        <v>48</v>
      </c>
      <c r="G104" s="287">
        <v>35.299999999999997</v>
      </c>
      <c r="H104" s="287">
        <v>35.299999999999997</v>
      </c>
      <c r="I104" s="287">
        <v>-15.2</v>
      </c>
      <c r="J104" s="287">
        <v>-15.2</v>
      </c>
      <c r="K104" s="287">
        <v>-15.3</v>
      </c>
      <c r="L104" s="287">
        <v>-15.3</v>
      </c>
      <c r="M104" s="287">
        <v>-38.299999999999997</v>
      </c>
      <c r="N104" s="287">
        <v>-15.3</v>
      </c>
      <c r="O104" s="287">
        <v>-2.2999999999999998</v>
      </c>
      <c r="P104" s="287">
        <v>1.3</v>
      </c>
      <c r="Q104" s="287">
        <v>22.3</v>
      </c>
      <c r="R104" s="287">
        <v>22.3</v>
      </c>
      <c r="S104" s="287">
        <v>28</v>
      </c>
      <c r="T104" s="287">
        <v>28</v>
      </c>
      <c r="U104" s="287"/>
      <c r="V104" s="287">
        <v>37</v>
      </c>
      <c r="W104" s="287">
        <v>43</v>
      </c>
      <c r="X104" s="287">
        <v>40</v>
      </c>
      <c r="Y104" s="287">
        <v>65</v>
      </c>
      <c r="Z104" s="287"/>
      <c r="AA104" s="287">
        <v>51</v>
      </c>
      <c r="AB104" s="287">
        <v>24.1</v>
      </c>
      <c r="AC104" s="287">
        <v>66.099999999999994</v>
      </c>
      <c r="AD104" s="287">
        <v>75.7</v>
      </c>
      <c r="AE104" s="287">
        <v>73.209999999999994</v>
      </c>
      <c r="AF104" s="287">
        <v>39.020000000000003</v>
      </c>
      <c r="AG104" s="289"/>
      <c r="AH104" s="226">
        <f t="shared" si="23"/>
        <v>75.7</v>
      </c>
      <c r="AI104" s="284">
        <f t="shared" si="24"/>
        <v>0.875</v>
      </c>
    </row>
    <row r="105" spans="1:37" x14ac:dyDescent="0.25">
      <c r="A105" s="290" t="s">
        <v>109</v>
      </c>
      <c r="B105" s="274">
        <v>116</v>
      </c>
      <c r="C105" s="274">
        <v>119</v>
      </c>
      <c r="D105" s="274">
        <v>118</v>
      </c>
      <c r="E105" s="274">
        <v>117.4</v>
      </c>
      <c r="F105" s="274">
        <v>119</v>
      </c>
      <c r="G105" s="274">
        <v>120</v>
      </c>
      <c r="H105" s="274">
        <v>120</v>
      </c>
      <c r="I105" s="274">
        <v>104.8</v>
      </c>
      <c r="J105" s="274">
        <v>117.8</v>
      </c>
      <c r="K105" s="274">
        <v>114.7</v>
      </c>
      <c r="L105" s="274">
        <v>116.7</v>
      </c>
      <c r="M105" s="274">
        <v>104.4</v>
      </c>
      <c r="N105" s="274">
        <v>105</v>
      </c>
      <c r="O105" s="274">
        <v>98.7</v>
      </c>
      <c r="P105" s="274">
        <v>102.4</v>
      </c>
      <c r="Q105" s="274">
        <v>97.6</v>
      </c>
      <c r="R105" s="274">
        <v>97.6</v>
      </c>
      <c r="S105" s="274">
        <v>107</v>
      </c>
      <c r="T105" s="274">
        <v>107</v>
      </c>
      <c r="U105" s="274"/>
      <c r="V105" s="274">
        <v>61</v>
      </c>
      <c r="W105" s="274">
        <v>83</v>
      </c>
      <c r="X105" s="274">
        <v>81</v>
      </c>
      <c r="Y105" s="274">
        <v>81</v>
      </c>
      <c r="Z105" s="274"/>
      <c r="AA105" s="274">
        <v>94</v>
      </c>
      <c r="AB105" s="274">
        <v>105.2</v>
      </c>
      <c r="AC105" s="274">
        <v>108.4</v>
      </c>
      <c r="AD105" s="274">
        <v>108.4</v>
      </c>
      <c r="AE105" s="274">
        <v>114.5</v>
      </c>
      <c r="AF105" s="274">
        <v>112.4</v>
      </c>
      <c r="AG105" s="289"/>
      <c r="AH105" s="226">
        <f t="shared" si="23"/>
        <v>120</v>
      </c>
      <c r="AI105" s="284">
        <f t="shared" si="24"/>
        <v>0.20833333333333301</v>
      </c>
    </row>
    <row r="106" spans="1:37" ht="15.75" thickBot="1" x14ac:dyDescent="0.3">
      <c r="A106" s="290" t="s">
        <v>110</v>
      </c>
      <c r="B106" s="274">
        <v>83.4</v>
      </c>
      <c r="C106" s="274">
        <v>94.6</v>
      </c>
      <c r="D106" s="274">
        <v>94.9</v>
      </c>
      <c r="E106" s="274">
        <v>83.7</v>
      </c>
      <c r="F106" s="274">
        <v>92</v>
      </c>
      <c r="G106" s="274">
        <v>86.4</v>
      </c>
      <c r="H106" s="274">
        <v>86.4</v>
      </c>
      <c r="I106" s="274">
        <v>72.099999999999994</v>
      </c>
      <c r="J106" s="274">
        <v>41.7</v>
      </c>
      <c r="K106" s="274">
        <v>58.4</v>
      </c>
      <c r="L106" s="274">
        <v>66.7</v>
      </c>
      <c r="M106" s="274">
        <v>77</v>
      </c>
      <c r="N106" s="274">
        <v>70</v>
      </c>
      <c r="O106" s="274">
        <v>66.099999999999994</v>
      </c>
      <c r="P106" s="274">
        <v>69.5</v>
      </c>
      <c r="Q106" s="274">
        <v>67.400000000000006</v>
      </c>
      <c r="R106" s="274">
        <v>67.400000000000006</v>
      </c>
      <c r="S106" s="274">
        <v>51</v>
      </c>
      <c r="T106" s="274">
        <v>51</v>
      </c>
      <c r="U106" s="274"/>
      <c r="V106" s="274">
        <v>58</v>
      </c>
      <c r="W106" s="274">
        <v>49</v>
      </c>
      <c r="X106" s="274">
        <v>38</v>
      </c>
      <c r="Y106" s="274">
        <v>48</v>
      </c>
      <c r="Z106" s="274"/>
      <c r="AA106" s="274">
        <v>36</v>
      </c>
      <c r="AB106" s="274">
        <v>68.599999999999994</v>
      </c>
      <c r="AC106" s="274">
        <v>63.9</v>
      </c>
      <c r="AD106" s="274">
        <v>74.7</v>
      </c>
      <c r="AE106" s="274">
        <v>65.84</v>
      </c>
      <c r="AF106" s="274">
        <v>95.7</v>
      </c>
      <c r="AG106" s="289"/>
      <c r="AH106" s="226">
        <f t="shared" si="23"/>
        <v>95.7</v>
      </c>
      <c r="AI106" s="284">
        <f t="shared" si="24"/>
        <v>0.95833333333333304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1761.44</v>
      </c>
      <c r="C230" s="333">
        <f>INDEX(G9:N9,1,MATCH(MAX(G79:N79),G79:N79,0))</f>
        <v>0.3125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20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2079/02/20)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2079/02/20)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1738.6399999999999</v>
      </c>
      <c r="U235" s="343">
        <f t="shared" si="31"/>
        <v>1738.6399999999999</v>
      </c>
      <c r="V235" s="343">
        <f t="shared" si="31"/>
        <v>1719.44</v>
      </c>
      <c r="W235" s="343">
        <f t="shared" si="31"/>
        <v>1719.44</v>
      </c>
      <c r="X235" s="343">
        <f t="shared" si="31"/>
        <v>1680.04</v>
      </c>
      <c r="Y235" s="343">
        <f t="shared" si="31"/>
        <v>1680.04</v>
      </c>
      <c r="Z235" s="343">
        <f t="shared" si="31"/>
        <v>1658.14</v>
      </c>
      <c r="AA235" s="343">
        <f t="shared" si="31"/>
        <v>1718.44</v>
      </c>
      <c r="AB235" s="343">
        <f t="shared" si="31"/>
        <v>1718.44</v>
      </c>
      <c r="AC235" s="343">
        <f t="shared" si="31"/>
        <v>1737.44</v>
      </c>
      <c r="AD235" s="343">
        <f t="shared" si="31"/>
        <v>1761.44</v>
      </c>
      <c r="AE235" s="343">
        <f t="shared" si="31"/>
        <v>1761.24</v>
      </c>
      <c r="AF235" s="343">
        <f t="shared" si="31"/>
        <v>1742.24</v>
      </c>
      <c r="AG235" s="343">
        <f t="shared" si="31"/>
        <v>1727.24</v>
      </c>
      <c r="AH235" s="343">
        <f t="shared" si="31"/>
        <v>1757.24</v>
      </c>
      <c r="AI235" s="343">
        <f t="shared" si="31"/>
        <v>1757.24</v>
      </c>
      <c r="AJ235" s="343">
        <f t="shared" si="31"/>
        <v>1762.24</v>
      </c>
      <c r="AK235" s="343">
        <f t="shared" si="31"/>
        <v>1787.24</v>
      </c>
      <c r="AL235" s="343">
        <f t="shared" si="31"/>
        <v>1780.24</v>
      </c>
      <c r="AM235" s="343">
        <f t="shared" si="31"/>
        <v>1767.24</v>
      </c>
      <c r="AN235" s="343">
        <f t="shared" si="31"/>
        <v>1815.35</v>
      </c>
      <c r="AO235" s="343">
        <f t="shared" si="31"/>
        <v>1795.34</v>
      </c>
      <c r="AP235" s="343">
        <f t="shared" si="31"/>
        <v>1787.24</v>
      </c>
      <c r="AQ235" s="343">
        <f t="shared" si="31"/>
        <v>1831.34</v>
      </c>
      <c r="AR235" s="343">
        <f t="shared" si="31"/>
        <v>1781.1399999999999</v>
      </c>
      <c r="AS235" s="343">
        <f t="shared" si="31"/>
        <v>1871.24</v>
      </c>
      <c r="AT235" s="343">
        <f t="shared" si="31"/>
        <v>1899.9399999999998</v>
      </c>
      <c r="AU235" s="343">
        <f t="shared" si="31"/>
        <v>1922.5399999999997</v>
      </c>
      <c r="AV235" s="343">
        <f t="shared" si="31"/>
        <v>1912.24</v>
      </c>
      <c r="AW235" s="343">
        <f t="shared" si="31"/>
        <v>1770.24</v>
      </c>
      <c r="AX235" s="343">
        <f t="shared" si="31"/>
        <v>1745.14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B11:AF11">
    <cfRule type="expression" dxfId="3709" priority="237">
      <formula>B$9&gt;=20/24</formula>
    </cfRule>
    <cfRule type="expression" dxfId="3708" priority="238">
      <formula>AND(B$9&gt;=14/24,B$9&lt;20/24)</formula>
    </cfRule>
    <cfRule type="expression" dxfId="3707" priority="239">
      <formula>AND(B$9&gt;=8/24,B$9&lt;14/24)</formula>
    </cfRule>
    <cfRule type="expression" dxfId="3706" priority="240">
      <formula>B$9&lt;8/24</formula>
    </cfRule>
  </conditionalFormatting>
  <conditionalFormatting sqref="AL4:AL6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3705" priority="232">
      <formula>AB$9&gt;=20/24</formula>
    </cfRule>
    <cfRule type="expression" dxfId="3704" priority="233">
      <formula>AND(AB$9&gt;=14/24,AB$9&lt;20/24)</formula>
    </cfRule>
    <cfRule type="expression" dxfId="3703" priority="234">
      <formula>AND(AB$9&gt;=8/24,AB$9&lt;14/24)</formula>
    </cfRule>
    <cfRule type="expression" dxfId="3702" priority="235">
      <formula>AB$9&lt;8/24</formula>
    </cfRule>
  </conditionalFormatting>
  <conditionalFormatting sqref="AG55 AB37:AF37 B12:AA16 B35:AF35 AB11:AF16">
    <cfRule type="expression" dxfId="3701" priority="231">
      <formula>B11&gt;$AG11</formula>
    </cfRule>
  </conditionalFormatting>
  <conditionalFormatting sqref="A89:A102 A11:A14 A49:A76 A85:A87 A191:A221 A16:A30 A36:A47 A107:A178 A32:A33 A81:A83 A78:A79">
    <cfRule type="expression" dxfId="3700" priority="230">
      <formula>$AH11=0</formula>
    </cfRule>
  </conditionalFormatting>
  <conditionalFormatting sqref="A103">
    <cfRule type="expression" dxfId="3699" priority="229">
      <formula>$AH103=0</formula>
    </cfRule>
  </conditionalFormatting>
  <conditionalFormatting sqref="AL3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698" priority="227">
      <formula>$AH35=0</formula>
    </cfRule>
  </conditionalFormatting>
  <conditionalFormatting sqref="A88">
    <cfRule type="expression" dxfId="3697" priority="226">
      <formula>$AH88=0</formula>
    </cfRule>
  </conditionalFormatting>
  <conditionalFormatting sqref="A15">
    <cfRule type="expression" dxfId="3696" priority="225">
      <formula>$AH15=0</formula>
    </cfRule>
  </conditionalFormatting>
  <conditionalFormatting sqref="A185:A190">
    <cfRule type="expression" dxfId="3695" priority="224">
      <formula>$AH185=0</formula>
    </cfRule>
  </conditionalFormatting>
  <conditionalFormatting sqref="A179:A184">
    <cfRule type="expression" dxfId="3694" priority="223">
      <formula>$AH179=0</formula>
    </cfRule>
  </conditionalFormatting>
  <conditionalFormatting sqref="A48">
    <cfRule type="expression" dxfId="3693" priority="222">
      <formula>$AH48=0</formula>
    </cfRule>
  </conditionalFormatting>
  <conditionalFormatting sqref="A84">
    <cfRule type="expression" dxfId="3692" priority="221">
      <formula>$AH84=0</formula>
    </cfRule>
  </conditionalFormatting>
  <conditionalFormatting sqref="D89:AF89">
    <cfRule type="expression" dxfId="3691" priority="217">
      <formula>D$9&gt;=20/24</formula>
    </cfRule>
    <cfRule type="expression" dxfId="3690" priority="218">
      <formula>AND(D$9&gt;=14/24,D$9&lt;20/24)</formula>
    </cfRule>
    <cfRule type="expression" dxfId="3689" priority="219">
      <formula>AND(D$9&gt;=8/24,D$9&lt;14/24)</formula>
    </cfRule>
    <cfRule type="expression" dxfId="3688" priority="220">
      <formula>D$9&lt;8/24</formula>
    </cfRule>
  </conditionalFormatting>
  <conditionalFormatting sqref="AL34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87" priority="243">
      <formula>C$9&gt;=20/24</formula>
    </cfRule>
    <cfRule type="expression" dxfId="3686" priority="244">
      <formula>AND(C$9&gt;=14/24,C$9&lt;20/24)</formula>
    </cfRule>
    <cfRule type="expression" dxfId="3685" priority="245">
      <formula>AND(C$9&gt;=8/24,C$9&lt;14/24)</formula>
    </cfRule>
    <cfRule type="expression" dxfId="3684" priority="246">
      <formula>C$9&lt;8/24</formula>
    </cfRule>
  </conditionalFormatting>
  <conditionalFormatting sqref="A222">
    <cfRule type="expression" dxfId="3683" priority="247">
      <formula>$AH222=0</formula>
    </cfRule>
  </conditionalFormatting>
  <conditionalFormatting sqref="AG234">
    <cfRule type="expression" dxfId="3682" priority="248">
      <formula>B$9&gt;=20/24</formula>
    </cfRule>
    <cfRule type="expression" dxfId="3681" priority="249">
      <formula>AND(B$9&gt;=14/24,B$9&lt;20/24)</formula>
    </cfRule>
    <cfRule type="expression" dxfId="3680" priority="250">
      <formula>AND(B$9&gt;=8/24,B$9&lt;14/24)</formula>
    </cfRule>
    <cfRule type="expression" dxfId="3679" priority="251">
      <formula>B$9&lt;8/24</formula>
    </cfRule>
  </conditionalFormatting>
  <conditionalFormatting sqref="S8">
    <cfRule type="expression" dxfId="3678" priority="212">
      <formula>U$9&gt;=20/24</formula>
    </cfRule>
    <cfRule type="expression" dxfId="3677" priority="213">
      <formula>AND(U$9&gt;=14/24,U$9&lt;20/24)</formula>
    </cfRule>
    <cfRule type="expression" dxfId="3676" priority="214">
      <formula>AND(U$9&gt;=8/24,U$9&lt;14/24)</formula>
    </cfRule>
    <cfRule type="expression" dxfId="3675" priority="215">
      <formula>U$9&lt;8/24</formula>
    </cfRule>
  </conditionalFormatting>
  <conditionalFormatting sqref="AB8">
    <cfRule type="expression" dxfId="3674" priority="208">
      <formula>AD$9&gt;=20/24</formula>
    </cfRule>
    <cfRule type="expression" dxfId="3673" priority="209">
      <formula>AND(AD$9&gt;=14/24,AD$9&lt;20/24)</formula>
    </cfRule>
    <cfRule type="expression" dxfId="3672" priority="210">
      <formula>AND(AD$9&gt;=8/24,AD$9&lt;14/24)</formula>
    </cfRule>
    <cfRule type="expression" dxfId="3671" priority="211">
      <formula>AD$9&lt;8/24</formula>
    </cfRule>
  </conditionalFormatting>
  <conditionalFormatting sqref="AH234:AX234">
    <cfRule type="expression" dxfId="3670" priority="252">
      <formula>AG$9&gt;=20/24</formula>
    </cfRule>
    <cfRule type="expression" dxfId="3669" priority="253">
      <formula>AND(AG$9&gt;=14/24,AG$9&lt;20/24)</formula>
    </cfRule>
    <cfRule type="expression" dxfId="3668" priority="254">
      <formula>AND(AG$9&gt;=8/24,AG$9&lt;14/24)</formula>
    </cfRule>
    <cfRule type="expression" dxfId="3667" priority="255">
      <formula>AG$9&lt;8/24</formula>
    </cfRule>
  </conditionalFormatting>
  <conditionalFormatting sqref="T234">
    <cfRule type="expression" dxfId="3666" priority="256">
      <formula>AX$9&gt;=20/24</formula>
    </cfRule>
    <cfRule type="expression" dxfId="3665" priority="257">
      <formula>AND(AX$9&gt;=14/24,AX$9&lt;20/24)</formula>
    </cfRule>
    <cfRule type="expression" dxfId="3664" priority="258">
      <formula>AND(AX$9&gt;=8/24,AX$9&lt;14/24)</formula>
    </cfRule>
    <cfRule type="expression" dxfId="3663" priority="259">
      <formula>AX$9&lt;8/24</formula>
    </cfRule>
  </conditionalFormatting>
  <conditionalFormatting sqref="A104:A105">
    <cfRule type="expression" dxfId="3662" priority="207">
      <formula>$AH104=0</formula>
    </cfRule>
  </conditionalFormatting>
  <conditionalFormatting sqref="AF36 C61:AF61 AB44:AF45">
    <cfRule type="expression" dxfId="3661" priority="203">
      <formula>C$9&gt;=20/24</formula>
    </cfRule>
    <cfRule type="expression" dxfId="3660" priority="204">
      <formula>AND(C$9&gt;=14/24,C$9&lt;20/24)</formula>
    </cfRule>
    <cfRule type="expression" dxfId="3659" priority="205">
      <formula>AND(C$9&gt;=8/24,C$9&lt;14/24)</formula>
    </cfRule>
    <cfRule type="expression" dxfId="3658" priority="206">
      <formula>C$9&lt;8/24</formula>
    </cfRule>
  </conditionalFormatting>
  <conditionalFormatting sqref="AB43:AF43">
    <cfRule type="expression" dxfId="3657" priority="199">
      <formula>AB$9&gt;=20/24</formula>
    </cfRule>
    <cfRule type="expression" dxfId="3656" priority="200">
      <formula>AND(AB$9&gt;=14/24,AB$9&lt;20/24)</formula>
    </cfRule>
    <cfRule type="expression" dxfId="3655" priority="201">
      <formula>AND(AB$9&gt;=8/24,AB$9&lt;14/24)</formula>
    </cfRule>
    <cfRule type="expression" dxfId="3654" priority="202">
      <formula>AB$9&lt;8/24</formula>
    </cfRule>
  </conditionalFormatting>
  <conditionalFormatting sqref="AF36 AB43:AF45">
    <cfRule type="expression" dxfId="3653" priority="198">
      <formula>AB36&gt;$AG36</formula>
    </cfRule>
  </conditionalFormatting>
  <conditionalFormatting sqref="C86:AF86 C76:AF76 M37:AA37 P19:AA19 C62:AF63 D90:AF96 M57:AF59 AD25:AF25 AB16:AF16 AB12:AF14 AB18:AF21 M64:AF71 I73:AF75">
    <cfRule type="expression" dxfId="3652" priority="194">
      <formula>C$9&gt;=20/24</formula>
    </cfRule>
    <cfRule type="expression" dxfId="3651" priority="195">
      <formula>AND(C$9&gt;=14/24,C$9&lt;20/24)</formula>
    </cfRule>
    <cfRule type="expression" dxfId="3650" priority="196">
      <formula>AND(C$9&gt;=8/24,C$9&lt;14/24)</formula>
    </cfRule>
    <cfRule type="expression" dxfId="3649" priority="197">
      <formula>C$9&lt;8/24</formula>
    </cfRule>
  </conditionalFormatting>
  <conditionalFormatting sqref="C55:AF55 M37:AA37 P19:AA19 M57:AF59 AD25:AF25 AB18:AF21 AB46:AF47">
    <cfRule type="expression" dxfId="3648" priority="189">
      <formula>C18&gt;$AG18</formula>
    </cfRule>
  </conditionalFormatting>
  <conditionalFormatting sqref="AF35">
    <cfRule type="expression" dxfId="3647" priority="185">
      <formula>AF$9&gt;=20/24</formula>
    </cfRule>
    <cfRule type="expression" dxfId="3646" priority="186">
      <formula>AND(AF$9&gt;=14/24,AF$9&lt;20/24)</formula>
    </cfRule>
    <cfRule type="expression" dxfId="3645" priority="187">
      <formula>AND(AF$9&gt;=8/24,AF$9&lt;14/24)</formula>
    </cfRule>
    <cfRule type="expression" dxfId="3644" priority="188">
      <formula>AF$9&lt;8/24</formula>
    </cfRule>
  </conditionalFormatting>
  <conditionalFormatting sqref="AB15:AF15">
    <cfRule type="expression" dxfId="3643" priority="181">
      <formula>AB$9&gt;=20/24</formula>
    </cfRule>
    <cfRule type="expression" dxfId="3642" priority="182">
      <formula>AND(AB$9&gt;=14/24,AB$9&lt;20/24)</formula>
    </cfRule>
    <cfRule type="expression" dxfId="3641" priority="183">
      <formula>AND(AB$9&gt;=8/24,AB$9&lt;14/24)</formula>
    </cfRule>
    <cfRule type="expression" dxfId="3640" priority="184">
      <formula>AB$9&lt;8/24</formula>
    </cfRule>
  </conditionalFormatting>
  <conditionalFormatting sqref="AF34">
    <cfRule type="expression" dxfId="3639" priority="177">
      <formula>AF$9&gt;=20/24</formula>
    </cfRule>
    <cfRule type="expression" dxfId="3638" priority="178">
      <formula>AND(AF$9&gt;=14/24,AF$9&lt;20/24)</formula>
    </cfRule>
    <cfRule type="expression" dxfId="3637" priority="179">
      <formula>AND(AF$9&gt;=8/24,AF$9&lt;14/24)</formula>
    </cfRule>
    <cfRule type="expression" dxfId="3636" priority="180">
      <formula>AF$9&lt;8/24</formula>
    </cfRule>
  </conditionalFormatting>
  <conditionalFormatting sqref="AF34">
    <cfRule type="expression" dxfId="3635" priority="176">
      <formula>AF34&gt;$AG34</formula>
    </cfRule>
  </conditionalFormatting>
  <conditionalFormatting sqref="AB48:AC51 AC52:AC54 AD48:AF54">
    <cfRule type="expression" dxfId="3634" priority="168">
      <formula>AB$9&gt;=20/24</formula>
    </cfRule>
    <cfRule type="expression" dxfId="3633" priority="169">
      <formula>AND(AB$9&gt;=14/24,AB$9&lt;20/24)</formula>
    </cfRule>
    <cfRule type="expression" dxfId="3632" priority="170">
      <formula>AND(AB$9&gt;=8/24,AB$9&lt;14/24)</formula>
    </cfRule>
    <cfRule type="expression" dxfId="3631" priority="171">
      <formula>AB$9&lt;8/24</formula>
    </cfRule>
  </conditionalFormatting>
  <conditionalFormatting sqref="AB48:AC51 AC52:AC54 AD48:AF54">
    <cfRule type="expression" dxfId="3630" priority="167">
      <formula>AB48&gt;$AG48</formula>
    </cfRule>
  </conditionalFormatting>
  <conditionalFormatting sqref="N48:AA48">
    <cfRule type="expression" dxfId="3629" priority="163">
      <formula>N$9&gt;=20/24</formula>
    </cfRule>
    <cfRule type="expression" dxfId="3628" priority="164">
      <formula>AND(N$9&gt;=14/24,N$9&lt;20/24)</formula>
    </cfRule>
    <cfRule type="expression" dxfId="3627" priority="165">
      <formula>AND(N$9&gt;=8/24,N$9&lt;14/24)</formula>
    </cfRule>
    <cfRule type="expression" dxfId="3626" priority="166">
      <formula>N$9&lt;8/24</formula>
    </cfRule>
  </conditionalFormatting>
  <conditionalFormatting sqref="N48:AA48">
    <cfRule type="expression" dxfId="3625" priority="162">
      <formula>N48&gt;$AG48</formula>
    </cfRule>
  </conditionalFormatting>
  <conditionalFormatting sqref="AB17:AF17">
    <cfRule type="expression" dxfId="3624" priority="154">
      <formula>AB$9&gt;=20/24</formula>
    </cfRule>
    <cfRule type="expression" dxfId="3623" priority="155">
      <formula>AND(AB$9&gt;=14/24,AB$9&lt;20/24)</formula>
    </cfRule>
    <cfRule type="expression" dxfId="3622" priority="156">
      <formula>AND(AB$9&gt;=8/24,AB$9&lt;14/24)</formula>
    </cfRule>
    <cfRule type="expression" dxfId="3621" priority="157">
      <formula>AB$9&lt;8/24</formula>
    </cfRule>
  </conditionalFormatting>
  <conditionalFormatting sqref="AB17:AF17">
    <cfRule type="expression" dxfId="3620" priority="149">
      <formula>AB17&gt;$AG17</formula>
    </cfRule>
  </conditionalFormatting>
  <conditionalFormatting sqref="B99:B105 B78:AF78 B87:AF87 B11:AA11">
    <cfRule type="expression" dxfId="3619" priority="104">
      <formula>B$9&gt;=20/24</formula>
    </cfRule>
    <cfRule type="expression" dxfId="3618" priority="105">
      <formula>AND(B$9&gt;=14/24,B$9&lt;20/24)</formula>
    </cfRule>
    <cfRule type="expression" dxfId="3617" priority="106">
      <formula>AND(B$9&gt;=8/24,B$9&lt;14/24)</formula>
    </cfRule>
    <cfRule type="expression" dxfId="3616" priority="107">
      <formula>B$9&lt;8/24</formula>
    </cfRule>
  </conditionalFormatting>
  <conditionalFormatting sqref="B37:L37">
    <cfRule type="expression" dxfId="3615" priority="100">
      <formula>B$9&gt;=20/24</formula>
    </cfRule>
    <cfRule type="expression" dxfId="3614" priority="101">
      <formula>AND(B$9&gt;=14/24,B$9&lt;20/24)</formula>
    </cfRule>
    <cfRule type="expression" dxfId="3613" priority="102">
      <formula>AND(B$9&gt;=8/24,B$9&lt;14/24)</formula>
    </cfRule>
    <cfRule type="expression" dxfId="3612" priority="103">
      <formula>B$9&lt;8/24</formula>
    </cfRule>
  </conditionalFormatting>
  <conditionalFormatting sqref="B37:L37 B11:AA11">
    <cfRule type="expression" dxfId="3611" priority="99">
      <formula>B11&gt;$AG11</formula>
    </cfRule>
  </conditionalFormatting>
  <conditionalFormatting sqref="B89:C89">
    <cfRule type="expression" dxfId="3610" priority="95">
      <formula>B$9&gt;=20/24</formula>
    </cfRule>
    <cfRule type="expression" dxfId="3609" priority="96">
      <formula>AND(B$9&gt;=14/24,B$9&lt;20/24)</formula>
    </cfRule>
    <cfRule type="expression" dxfId="3608" priority="97">
      <formula>AND(B$9&gt;=8/24,B$9&lt;14/24)</formula>
    </cfRule>
    <cfRule type="expression" dxfId="3607" priority="98">
      <formula>B$9&lt;8/24</formula>
    </cfRule>
  </conditionalFormatting>
  <conditionalFormatting sqref="B61 B44:AA45 B36:AE36">
    <cfRule type="expression" dxfId="3606" priority="91">
      <formula>B$9&gt;=20/24</formula>
    </cfRule>
    <cfRule type="expression" dxfId="3605" priority="92">
      <formula>AND(B$9&gt;=14/24,B$9&lt;20/24)</formula>
    </cfRule>
    <cfRule type="expression" dxfId="3604" priority="93">
      <formula>AND(B$9&gt;=8/24,B$9&lt;14/24)</formula>
    </cfRule>
    <cfRule type="expression" dxfId="3603" priority="94">
      <formula>B$9&lt;8/24</formula>
    </cfRule>
  </conditionalFormatting>
  <conditionalFormatting sqref="B43:AA43">
    <cfRule type="expression" dxfId="3602" priority="87">
      <formula>B$9&gt;=20/24</formula>
    </cfRule>
    <cfRule type="expression" dxfId="3601" priority="88">
      <formula>AND(B$9&gt;=14/24,B$9&lt;20/24)</formula>
    </cfRule>
    <cfRule type="expression" dxfId="3600" priority="89">
      <formula>AND(B$9&gt;=8/24,B$9&lt;14/24)</formula>
    </cfRule>
    <cfRule type="expression" dxfId="3599" priority="90">
      <formula>B$9&lt;8/24</formula>
    </cfRule>
  </conditionalFormatting>
  <conditionalFormatting sqref="B43:AA45 B36:AE36">
    <cfRule type="expression" dxfId="3598" priority="86">
      <formula>B36&gt;$AG36</formula>
    </cfRule>
  </conditionalFormatting>
  <conditionalFormatting sqref="B57:B60 B62:B71 B73:B77 B79:AF79 B86 C60:AG60 C77:AG77 B88:AF88 B90:C96 C73:H75 C57:L59 C64:L71 B18:O22 B12:AA14 B16:AA16 P18:AA18 P20:AA22 B24:AC26 AB22:AF22 AD24:AF24 AD26:AF26 B28:AF32">
    <cfRule type="expression" dxfId="3597" priority="82">
      <formula>B$9&gt;=20/24</formula>
    </cfRule>
    <cfRule type="expression" dxfId="3596" priority="83">
      <formula>AND(B$9&gt;=14/24,B$9&lt;20/24)</formula>
    </cfRule>
    <cfRule type="expression" dxfId="3595" priority="84">
      <formula>AND(B$9&gt;=8/24,B$9&lt;14/24)</formula>
    </cfRule>
    <cfRule type="expression" dxfId="3594" priority="85">
      <formula>B$9&lt;8/24</formula>
    </cfRule>
  </conditionalFormatting>
  <conditionalFormatting sqref="B33:AF33">
    <cfRule type="expression" dxfId="3593" priority="78">
      <formula>B$9&gt;=20/24</formula>
    </cfRule>
    <cfRule type="expression" dxfId="3592" priority="79">
      <formula>AND(B$9&gt;=14/24,B$9&lt;20/24)</formula>
    </cfRule>
    <cfRule type="expression" dxfId="3591" priority="80">
      <formula>AND(B$9&gt;=8/24,B$9&lt;14/24)</formula>
    </cfRule>
    <cfRule type="expression" dxfId="3590" priority="81">
      <formula>B$9&lt;8/24</formula>
    </cfRule>
  </conditionalFormatting>
  <conditionalFormatting sqref="B55:B60 C56:AG56 C60:AG60 C57:L59 B46:L47 B18:O22 B38:AG38 P18:AA18 P20:AA22 B24:AC33 AB22:AF22 AD24:AF24 AD26:AF33">
    <cfRule type="expression" dxfId="3589" priority="77">
      <formula>B18&gt;$AG18</formula>
    </cfRule>
  </conditionalFormatting>
  <conditionalFormatting sqref="B35:AE35">
    <cfRule type="expression" dxfId="3588" priority="73">
      <formula>B$9&gt;=20/24</formula>
    </cfRule>
    <cfRule type="expression" dxfId="3587" priority="74">
      <formula>AND(B$9&gt;=14/24,B$9&lt;20/24)</formula>
    </cfRule>
    <cfRule type="expression" dxfId="3586" priority="75">
      <formula>AND(B$9&gt;=8/24,B$9&lt;14/24)</formula>
    </cfRule>
    <cfRule type="expression" dxfId="3585" priority="76">
      <formula>B$9&lt;8/24</formula>
    </cfRule>
  </conditionalFormatting>
  <conditionalFormatting sqref="B15:AA15">
    <cfRule type="expression" dxfId="3584" priority="69">
      <formula>B$9&gt;=20/24</formula>
    </cfRule>
    <cfRule type="expression" dxfId="3583" priority="70">
      <formula>AND(B$9&gt;=14/24,B$9&lt;20/24)</formula>
    </cfRule>
    <cfRule type="expression" dxfId="3582" priority="71">
      <formula>AND(B$9&gt;=8/24,B$9&lt;14/24)</formula>
    </cfRule>
    <cfRule type="expression" dxfId="3581" priority="72">
      <formula>B$9&lt;8/24</formula>
    </cfRule>
  </conditionalFormatting>
  <conditionalFormatting sqref="B34:AE34">
    <cfRule type="expression" dxfId="3580" priority="65">
      <formula>B$9&gt;=20/24</formula>
    </cfRule>
    <cfRule type="expression" dxfId="3579" priority="66">
      <formula>AND(B$9&gt;=14/24,B$9&lt;20/24)</formula>
    </cfRule>
    <cfRule type="expression" dxfId="3578" priority="67">
      <formula>AND(B$9&gt;=8/24,B$9&lt;14/24)</formula>
    </cfRule>
    <cfRule type="expression" dxfId="3577" priority="68">
      <formula>B$9&lt;8/24</formula>
    </cfRule>
  </conditionalFormatting>
  <conditionalFormatting sqref="B34:AE34">
    <cfRule type="expression" dxfId="3576" priority="64">
      <formula>B34&gt;$AG34</formula>
    </cfRule>
  </conditionalFormatting>
  <conditionalFormatting sqref="B48:M54 N49:AA54 AB52:AB54">
    <cfRule type="expression" dxfId="3575" priority="60">
      <formula>B$9&gt;=20/24</formula>
    </cfRule>
    <cfRule type="expression" dxfId="3574" priority="61">
      <formula>AND(B$9&gt;=14/24,B$9&lt;20/24)</formula>
    </cfRule>
    <cfRule type="expression" dxfId="3573" priority="62">
      <formula>AND(B$9&gt;=8/24,B$9&lt;14/24)</formula>
    </cfRule>
    <cfRule type="expression" dxfId="3572" priority="63">
      <formula>B$9&lt;8/24</formula>
    </cfRule>
  </conditionalFormatting>
  <conditionalFormatting sqref="B48:M54 N49:AA54 AB52:AB54">
    <cfRule type="expression" dxfId="3571" priority="59">
      <formula>B48&gt;$AG48</formula>
    </cfRule>
  </conditionalFormatting>
  <conditionalFormatting sqref="B27:AF27">
    <cfRule type="expression" dxfId="3570" priority="55">
      <formula>B$9&gt;=20/24</formula>
    </cfRule>
    <cfRule type="expression" dxfId="3569" priority="56">
      <formula>AND(B$9&gt;=14/24,B$9&lt;20/24)</formula>
    </cfRule>
    <cfRule type="expression" dxfId="3568" priority="57">
      <formula>AND(B$9&gt;=8/24,B$9&lt;14/24)</formula>
    </cfRule>
    <cfRule type="expression" dxfId="3567" priority="58">
      <formula>B$9&lt;8/24</formula>
    </cfRule>
  </conditionalFormatting>
  <conditionalFormatting sqref="B17:AA17 B23:AF23">
    <cfRule type="expression" dxfId="3566" priority="51">
      <formula>B$9&gt;=20/24</formula>
    </cfRule>
    <cfRule type="expression" dxfId="3565" priority="52">
      <formula>AND(B$9&gt;=14/24,B$9&lt;20/24)</formula>
    </cfRule>
    <cfRule type="expression" dxfId="3564" priority="53">
      <formula>AND(B$9&gt;=8/24,B$9&lt;14/24)</formula>
    </cfRule>
    <cfRule type="expression" dxfId="3563" priority="54">
      <formula>B$9&lt;8/24</formula>
    </cfRule>
  </conditionalFormatting>
  <conditionalFormatting sqref="B17:AA17 B23:AF23">
    <cfRule type="expression" dxfId="3562" priority="50">
      <formula>B17&gt;$AG17</formula>
    </cfRule>
  </conditionalFormatting>
  <conditionalFormatting sqref="A34">
    <cfRule type="expression" dxfId="3561" priority="49">
      <formula>$AH34=0</formula>
    </cfRule>
  </conditionalFormatting>
  <conditionalFormatting sqref="B72:AF72">
    <cfRule type="expression" dxfId="3560" priority="45">
      <formula>B$9&gt;=20/24</formula>
    </cfRule>
    <cfRule type="expression" dxfId="3559" priority="46">
      <formula>AND(B$9&gt;=14/24,B$9&lt;20/24)</formula>
    </cfRule>
    <cfRule type="expression" dxfId="3558" priority="47">
      <formula>AND(B$9&gt;=8/24,B$9&lt;14/24)</formula>
    </cfRule>
    <cfRule type="expression" dxfId="3557" priority="48">
      <formula>B$9&lt;8/24</formula>
    </cfRule>
  </conditionalFormatting>
  <conditionalFormatting sqref="B81:AF85">
    <cfRule type="expression" dxfId="3556" priority="41">
      <formula>B$9&gt;=20/24</formula>
    </cfRule>
    <cfRule type="expression" dxfId="3555" priority="42">
      <formula>AND(B$9&gt;=14/24,B$9&lt;20/24)</formula>
    </cfRule>
    <cfRule type="expression" dxfId="3554" priority="43">
      <formula>AND(B$9&gt;=8/24,B$9&lt;14/24)</formula>
    </cfRule>
    <cfRule type="expression" dxfId="3553" priority="44">
      <formula>B$9&lt;8/24</formula>
    </cfRule>
  </conditionalFormatting>
  <conditionalFormatting sqref="AL35 AL7:AL30 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O39:AF41">
    <cfRule type="expression" dxfId="3552" priority="37">
      <formula>O$9&gt;=20/24</formula>
    </cfRule>
    <cfRule type="expression" dxfId="3551" priority="38">
      <formula>AND(O$9&gt;=14/24,O$9&lt;20/24)</formula>
    </cfRule>
    <cfRule type="expression" dxfId="3550" priority="39">
      <formula>AND(O$9&gt;=8/24,O$9&lt;14/24)</formula>
    </cfRule>
    <cfRule type="expression" dxfId="3549" priority="40">
      <formula>O$9&lt;8/24</formula>
    </cfRule>
  </conditionalFormatting>
  <conditionalFormatting sqref="O39:AF41">
    <cfRule type="expression" dxfId="3548" priority="36">
      <formula>O39&gt;$AG39</formula>
    </cfRule>
  </conditionalFormatting>
  <conditionalFormatting sqref="B39:B42 C42:AG42 C39:N41">
    <cfRule type="expression" dxfId="3547" priority="32">
      <formula>B$9&gt;=20/24</formula>
    </cfRule>
    <cfRule type="expression" dxfId="3546" priority="33">
      <formula>AND(B$9&gt;=14/24,B$9&lt;20/24)</formula>
    </cfRule>
    <cfRule type="expression" dxfId="3545" priority="34">
      <formula>AND(B$9&gt;=8/24,B$9&lt;14/24)</formula>
    </cfRule>
    <cfRule type="expression" dxfId="3544" priority="35">
      <formula>B$9&lt;8/24</formula>
    </cfRule>
  </conditionalFormatting>
  <conditionalFormatting sqref="B39:B42 C42:AG42 C39:N41">
    <cfRule type="expression" dxfId="3543" priority="31">
      <formula>B39&gt;$AG39</formula>
    </cfRule>
  </conditionalFormatting>
  <conditionalFormatting sqref="C97:AF97">
    <cfRule type="expression" dxfId="3542" priority="27">
      <formula>C$9&gt;=20/24</formula>
    </cfRule>
    <cfRule type="expression" dxfId="3541" priority="28">
      <formula>AND(C$9&gt;=14/24,C$9&lt;20/24)</formula>
    </cfRule>
    <cfRule type="expression" dxfId="3540" priority="29">
      <formula>AND(C$9&gt;=8/24,C$9&lt;14/24)</formula>
    </cfRule>
    <cfRule type="expression" dxfId="3539" priority="30">
      <formula>C$9&lt;8/24</formula>
    </cfRule>
  </conditionalFormatting>
  <conditionalFormatting sqref="B97">
    <cfRule type="expression" dxfId="3538" priority="23">
      <formula>B$9&gt;=20/24</formula>
    </cfRule>
    <cfRule type="expression" dxfId="3537" priority="24">
      <formula>AND(B$9&gt;=14/24,B$9&lt;20/24)</formula>
    </cfRule>
    <cfRule type="expression" dxfId="3536" priority="25">
      <formula>AND(B$9&gt;=8/24,B$9&lt;14/24)</formula>
    </cfRule>
    <cfRule type="expression" dxfId="3535" priority="26">
      <formula>B$9&lt;8/24</formula>
    </cfRule>
  </conditionalFormatting>
  <conditionalFormatting sqref="AL31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534" priority="17">
      <formula>$AH31=0</formula>
    </cfRule>
  </conditionalFormatting>
  <conditionalFormatting sqref="A80">
    <cfRule type="expression" dxfId="3533" priority="15">
      <formula>$AH80=0</formula>
    </cfRule>
  </conditionalFormatting>
  <conditionalFormatting sqref="A77">
    <cfRule type="expression" dxfId="3532" priority="16">
      <formula>$AH77=0</formula>
    </cfRule>
  </conditionalFormatting>
  <conditionalFormatting sqref="A106">
    <cfRule type="expression" dxfId="3531" priority="6">
      <formula>$AH106=0</formula>
    </cfRule>
  </conditionalFormatting>
  <conditionalFormatting sqref="M46:AA47">
    <cfRule type="expression" dxfId="3530" priority="2">
      <formula>M$9&gt;=20/24</formula>
    </cfRule>
    <cfRule type="expression" dxfId="3529" priority="3">
      <formula>AND(M$9&gt;=14/24,M$9&lt;20/24)</formula>
    </cfRule>
    <cfRule type="expression" dxfId="3528" priority="4">
      <formula>AND(M$9&gt;=8/24,M$9&lt;14/24)</formula>
    </cfRule>
    <cfRule type="expression" dxfId="3527" priority="5">
      <formula>M$9&lt;8/24</formula>
    </cfRule>
  </conditionalFormatting>
  <conditionalFormatting sqref="M46:AA47">
    <cfRule type="expression" dxfId="3526" priority="1">
      <formula>M46&gt;$AG46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2B5FBD92-9A72-4FA7-BC50-B4686B19198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" id="{6059C675-DEAF-46CD-A4E7-CFF7D1C12F9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" id="{9C156040-E70E-45B0-810B-F8D4A1EEF76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" id="{1184C9CC-052C-4672-B76C-912C8988CBF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1" id="{089CCA4F-8DA7-472B-8B10-C30A79ECFAF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6A1B3120-929E-4D46-8742-84D527069CE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A41C0FFE-CCB8-4D04-9EF6-96AB2F0D381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" id="{77034240-7A45-4C8F-872C-408B6A51497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7" id="{991FF84C-B61F-4C09-B3FD-E53729EE85C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" id="{9CBB4C2D-F0A1-400F-A9EA-83DA3AD201D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" id="{78D8450A-7669-47EF-A889-143E3A14991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" id="{3E90F22B-C5A2-422E-8E7D-A0329AC565A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CJ493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K87" sqref="K87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2079/02/21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28.1</v>
      </c>
      <c r="C5" s="205">
        <f t="shared" si="0"/>
        <v>28.7</v>
      </c>
      <c r="D5" s="205">
        <f t="shared" si="0"/>
        <v>13.4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8</v>
      </c>
      <c r="I5" s="205">
        <f t="shared" si="0"/>
        <v>3.6</v>
      </c>
      <c r="J5" s="205">
        <f t="shared" si="0"/>
        <v>9</v>
      </c>
      <c r="K5" s="205">
        <f t="shared" si="0"/>
        <v>15</v>
      </c>
      <c r="L5" s="205">
        <f t="shared" si="0"/>
        <v>40.700000000000003</v>
      </c>
      <c r="M5" s="205">
        <f t="shared" si="0"/>
        <v>43.6</v>
      </c>
      <c r="N5" s="205">
        <f t="shared" si="0"/>
        <v>58.1</v>
      </c>
      <c r="O5" s="205">
        <f t="shared" si="0"/>
        <v>23.9</v>
      </c>
      <c r="P5" s="205">
        <f t="shared" si="0"/>
        <v>25.1</v>
      </c>
      <c r="Q5" s="205">
        <f t="shared" si="0"/>
        <v>27</v>
      </c>
      <c r="R5" s="205">
        <f t="shared" si="0"/>
        <v>27.9</v>
      </c>
      <c r="S5" s="205">
        <f t="shared" si="0"/>
        <v>58.8</v>
      </c>
      <c r="T5" s="205">
        <f t="shared" si="0"/>
        <v>66.5</v>
      </c>
      <c r="U5" s="205">
        <f t="shared" si="0"/>
        <v>24.8</v>
      </c>
      <c r="V5" s="205">
        <f t="shared" si="0"/>
        <v>21</v>
      </c>
      <c r="W5" s="205">
        <f t="shared" si="0"/>
        <v>18.899999999999999</v>
      </c>
      <c r="X5" s="205">
        <f t="shared" si="0"/>
        <v>20</v>
      </c>
      <c r="Y5" s="205">
        <f t="shared" si="0"/>
        <v>25.5</v>
      </c>
      <c r="Z5" s="205">
        <f t="shared" si="0"/>
        <v>50.6</v>
      </c>
      <c r="AA5" s="205">
        <f t="shared" si="0"/>
        <v>52.6</v>
      </c>
      <c r="AB5" s="205">
        <f t="shared" si="0"/>
        <v>55</v>
      </c>
      <c r="AC5" s="205">
        <f t="shared" si="0"/>
        <v>55</v>
      </c>
      <c r="AD5" s="205">
        <f t="shared" si="0"/>
        <v>52</v>
      </c>
      <c r="AE5" s="205">
        <f t="shared" si="0"/>
        <v>8</v>
      </c>
      <c r="AF5" s="205">
        <f>B72</f>
        <v>28.2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1803MW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Load=1685</v>
      </c>
      <c r="B7" s="210">
        <f>B79</f>
        <v>1762.04</v>
      </c>
      <c r="C7" s="210">
        <f t="shared" ref="C7:AF7" si="1">C79</f>
        <v>1761.9399999999998</v>
      </c>
      <c r="D7" s="210">
        <f t="shared" si="1"/>
        <v>1698.14</v>
      </c>
      <c r="E7" s="210">
        <f t="shared" si="1"/>
        <v>1685.4399999999998</v>
      </c>
      <c r="F7" s="210">
        <f t="shared" si="1"/>
        <v>1713.84</v>
      </c>
      <c r="G7" s="210">
        <f t="shared" si="1"/>
        <v>1714.34</v>
      </c>
      <c r="H7" s="210">
        <f t="shared" si="1"/>
        <v>1725.1399999999999</v>
      </c>
      <c r="I7" s="210">
        <f t="shared" si="1"/>
        <v>1701.84</v>
      </c>
      <c r="J7" s="210">
        <f t="shared" si="1"/>
        <v>1730.9399999999998</v>
      </c>
      <c r="K7" s="210">
        <f t="shared" si="1"/>
        <v>1771.1399999999999</v>
      </c>
      <c r="L7" s="210">
        <f t="shared" si="1"/>
        <v>1777.1399999999999</v>
      </c>
      <c r="M7" s="210">
        <f t="shared" si="1"/>
        <v>1781.24</v>
      </c>
      <c r="N7" s="210">
        <f t="shared" si="1"/>
        <v>1803.3399999999997</v>
      </c>
      <c r="O7" s="210">
        <f t="shared" si="1"/>
        <v>1852.7399999999998</v>
      </c>
      <c r="P7" s="210">
        <f t="shared" si="1"/>
        <v>1823.54</v>
      </c>
      <c r="Q7" s="210">
        <f t="shared" si="1"/>
        <v>1874.04</v>
      </c>
      <c r="R7" s="210">
        <f t="shared" si="1"/>
        <v>1861.2399999999998</v>
      </c>
      <c r="S7" s="210">
        <f t="shared" si="1"/>
        <v>1858.34</v>
      </c>
      <c r="T7" s="210">
        <f t="shared" si="1"/>
        <v>1874.24</v>
      </c>
      <c r="U7" s="210">
        <f t="shared" si="1"/>
        <v>1875.3400000000001</v>
      </c>
      <c r="V7" s="210">
        <f t="shared" si="1"/>
        <v>1825.04</v>
      </c>
      <c r="W7" s="210">
        <f t="shared" si="1"/>
        <v>1819.8400000000001</v>
      </c>
      <c r="X7" s="210">
        <f t="shared" si="1"/>
        <v>1820.14</v>
      </c>
      <c r="Y7" s="210">
        <f t="shared" si="1"/>
        <v>1831.24</v>
      </c>
      <c r="Z7" s="210">
        <f t="shared" si="1"/>
        <v>1881.24</v>
      </c>
      <c r="AA7" s="210">
        <f t="shared" si="1"/>
        <v>1914.74</v>
      </c>
      <c r="AB7" s="210">
        <f t="shared" si="1"/>
        <v>1808.34</v>
      </c>
      <c r="AC7" s="210">
        <f t="shared" si="1"/>
        <v>1914.54</v>
      </c>
      <c r="AD7" s="210">
        <f t="shared" si="1"/>
        <v>1840.74</v>
      </c>
      <c r="AE7" s="210">
        <f t="shared" si="1"/>
        <v>1807.74</v>
      </c>
      <c r="AF7" s="210">
        <f t="shared" si="1"/>
        <v>1748.74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53.1</v>
      </c>
      <c r="C11" s="221">
        <v>53.1</v>
      </c>
      <c r="D11" s="222">
        <v>53.1</v>
      </c>
      <c r="E11" s="222">
        <v>53.1</v>
      </c>
      <c r="F11" s="222">
        <v>53.1</v>
      </c>
      <c r="G11" s="222">
        <v>53.1</v>
      </c>
      <c r="H11" s="222">
        <v>53.1</v>
      </c>
      <c r="I11" s="222">
        <v>53.1</v>
      </c>
      <c r="J11" s="222">
        <v>53.1</v>
      </c>
      <c r="K11" s="222">
        <v>53.1</v>
      </c>
      <c r="L11" s="222">
        <v>53.1</v>
      </c>
      <c r="M11" s="222">
        <v>53.1</v>
      </c>
      <c r="N11" s="222">
        <v>53.1</v>
      </c>
      <c r="O11" s="222">
        <v>53.1</v>
      </c>
      <c r="P11" s="222">
        <v>53.1</v>
      </c>
      <c r="Q11" s="222">
        <v>53.1</v>
      </c>
      <c r="R11" s="222">
        <v>53.1</v>
      </c>
      <c r="S11" s="222">
        <v>53.1</v>
      </c>
      <c r="T11" s="222">
        <v>53.1</v>
      </c>
      <c r="U11" s="222">
        <v>53.1</v>
      </c>
      <c r="V11" s="222">
        <v>53.1</v>
      </c>
      <c r="W11" s="222">
        <v>53.1</v>
      </c>
      <c r="X11" s="222">
        <v>53.1</v>
      </c>
      <c r="Y11" s="222">
        <v>53.1</v>
      </c>
      <c r="Z11" s="222">
        <v>53.1</v>
      </c>
      <c r="AA11" s="222">
        <v>53.1</v>
      </c>
      <c r="AB11" s="222">
        <v>53.1</v>
      </c>
      <c r="AC11" s="222">
        <v>53.1</v>
      </c>
      <c r="AD11" s="222">
        <v>53.1</v>
      </c>
      <c r="AE11" s="222">
        <v>53.1</v>
      </c>
      <c r="AF11" s="222">
        <v>53.1</v>
      </c>
      <c r="AG11" s="225">
        <v>52.4</v>
      </c>
      <c r="AH11" s="226">
        <f>MAX(B11:AF11)</f>
        <v>53.1</v>
      </c>
      <c r="AI11" s="227">
        <f>MIN(B11:AF11)</f>
        <v>53.1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50.6</v>
      </c>
      <c r="C12" s="221">
        <v>50.6</v>
      </c>
      <c r="D12" s="221">
        <v>50.6</v>
      </c>
      <c r="E12" s="221">
        <v>50.6</v>
      </c>
      <c r="F12" s="221">
        <v>50.6</v>
      </c>
      <c r="G12" s="221">
        <v>50.6</v>
      </c>
      <c r="H12" s="221">
        <v>50.6</v>
      </c>
      <c r="I12" s="221">
        <v>50.6</v>
      </c>
      <c r="J12" s="221">
        <v>50.6</v>
      </c>
      <c r="K12" s="221">
        <v>50.6</v>
      </c>
      <c r="L12" s="221">
        <v>50.6</v>
      </c>
      <c r="M12" s="221">
        <v>50.6</v>
      </c>
      <c r="N12" s="221">
        <v>50.6</v>
      </c>
      <c r="O12" s="221">
        <v>50.6</v>
      </c>
      <c r="P12" s="221">
        <v>50.6</v>
      </c>
      <c r="Q12" s="221">
        <v>50.6</v>
      </c>
      <c r="R12" s="221">
        <v>50.6</v>
      </c>
      <c r="S12" s="221">
        <v>50.6</v>
      </c>
      <c r="T12" s="221">
        <v>50.6</v>
      </c>
      <c r="U12" s="221">
        <v>50.6</v>
      </c>
      <c r="V12" s="221">
        <v>50.6</v>
      </c>
      <c r="W12" s="221">
        <v>50.6</v>
      </c>
      <c r="X12" s="221">
        <v>50.6</v>
      </c>
      <c r="Y12" s="221">
        <v>50.6</v>
      </c>
      <c r="Z12" s="221">
        <v>50.6</v>
      </c>
      <c r="AA12" s="221">
        <v>50.6</v>
      </c>
      <c r="AB12" s="221">
        <v>50.6</v>
      </c>
      <c r="AC12" s="221">
        <v>50.6</v>
      </c>
      <c r="AD12" s="221">
        <v>50.6</v>
      </c>
      <c r="AE12" s="221">
        <v>50.6</v>
      </c>
      <c r="AF12" s="221">
        <v>50.6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50.6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46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28</v>
      </c>
      <c r="C14" s="221">
        <v>28</v>
      </c>
      <c r="D14" s="221">
        <v>28</v>
      </c>
      <c r="E14" s="221">
        <v>20</v>
      </c>
      <c r="F14" s="221">
        <v>20</v>
      </c>
      <c r="G14" s="221">
        <v>20</v>
      </c>
      <c r="H14" s="221">
        <v>30</v>
      </c>
      <c r="I14" s="221">
        <v>30</v>
      </c>
      <c r="J14" s="221">
        <v>30</v>
      </c>
      <c r="K14" s="221">
        <v>36</v>
      </c>
      <c r="L14" s="221">
        <v>36</v>
      </c>
      <c r="M14" s="221">
        <v>0</v>
      </c>
      <c r="N14" s="221">
        <v>0</v>
      </c>
      <c r="O14" s="221">
        <v>35</v>
      </c>
      <c r="P14" s="221">
        <v>35</v>
      </c>
      <c r="Q14" s="221">
        <v>35</v>
      </c>
      <c r="R14" s="221">
        <v>35</v>
      </c>
      <c r="S14" s="221">
        <v>35</v>
      </c>
      <c r="T14" s="221">
        <v>35</v>
      </c>
      <c r="U14" s="221">
        <v>30</v>
      </c>
      <c r="V14" s="221">
        <v>30</v>
      </c>
      <c r="W14" s="221">
        <v>28</v>
      </c>
      <c r="X14" s="221">
        <v>30</v>
      </c>
      <c r="Y14" s="221">
        <v>30</v>
      </c>
      <c r="Z14" s="221">
        <v>36</v>
      </c>
      <c r="AA14" s="221">
        <v>30</v>
      </c>
      <c r="AB14" s="221">
        <v>30</v>
      </c>
      <c r="AC14" s="221">
        <v>30</v>
      </c>
      <c r="AD14" s="221">
        <v>32</v>
      </c>
      <c r="AE14" s="221">
        <v>32</v>
      </c>
      <c r="AF14" s="221">
        <v>32</v>
      </c>
      <c r="AG14" s="229">
        <v>42</v>
      </c>
      <c r="AH14" s="226">
        <f t="shared" si="2"/>
        <v>36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20</v>
      </c>
      <c r="L15" s="221">
        <v>20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20</v>
      </c>
      <c r="X15" s="221">
        <v>20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15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25.3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25.3</v>
      </c>
      <c r="N16" s="221">
        <v>25.3</v>
      </c>
      <c r="O16" s="221">
        <v>25.3</v>
      </c>
      <c r="P16" s="221">
        <v>25.3</v>
      </c>
      <c r="Q16" s="221">
        <v>25.3</v>
      </c>
      <c r="R16" s="221">
        <v>25.3</v>
      </c>
      <c r="S16" s="221">
        <v>25.3</v>
      </c>
      <c r="T16" s="221">
        <v>25.3</v>
      </c>
      <c r="U16" s="221">
        <v>25.3</v>
      </c>
      <c r="V16" s="221">
        <v>25.3</v>
      </c>
      <c r="W16" s="221">
        <v>25.3</v>
      </c>
      <c r="X16" s="221">
        <v>25.3</v>
      </c>
      <c r="Y16" s="221">
        <v>25.3</v>
      </c>
      <c r="Z16" s="221">
        <v>25.3</v>
      </c>
      <c r="AA16" s="221">
        <v>25.3</v>
      </c>
      <c r="AB16" s="221">
        <v>25.3</v>
      </c>
      <c r="AC16" s="221">
        <v>25.3</v>
      </c>
      <c r="AD16" s="221">
        <v>25.3</v>
      </c>
      <c r="AE16" s="221">
        <v>25.3</v>
      </c>
      <c r="AF16" s="221">
        <v>25.3</v>
      </c>
      <c r="AG16" s="229">
        <v>25</v>
      </c>
      <c r="AH16" s="226">
        <f t="shared" si="2"/>
        <v>25.3</v>
      </c>
      <c r="AI16" s="227">
        <f t="shared" si="3"/>
        <v>25.3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23</v>
      </c>
      <c r="C17" s="221">
        <v>23</v>
      </c>
      <c r="D17" s="221">
        <v>23</v>
      </c>
      <c r="E17" s="221">
        <v>23</v>
      </c>
      <c r="F17" s="221">
        <v>23</v>
      </c>
      <c r="G17" s="221">
        <v>23</v>
      </c>
      <c r="H17" s="221">
        <v>23</v>
      </c>
      <c r="I17" s="221">
        <v>23</v>
      </c>
      <c r="J17" s="221">
        <v>23</v>
      </c>
      <c r="K17" s="221">
        <v>23</v>
      </c>
      <c r="L17" s="221">
        <v>23</v>
      </c>
      <c r="M17" s="221">
        <v>23</v>
      </c>
      <c r="N17" s="221">
        <v>23</v>
      </c>
      <c r="O17" s="221">
        <v>23</v>
      </c>
      <c r="P17" s="221">
        <v>23</v>
      </c>
      <c r="Q17" s="221">
        <v>23</v>
      </c>
      <c r="R17" s="221">
        <v>23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0</v>
      </c>
      <c r="AC17" s="221">
        <v>0</v>
      </c>
      <c r="AD17" s="221">
        <v>0</v>
      </c>
      <c r="AE17" s="221">
        <v>0</v>
      </c>
      <c r="AF17" s="221">
        <v>0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33.1</v>
      </c>
      <c r="C19" s="221">
        <v>33.1</v>
      </c>
      <c r="D19" s="221">
        <v>33.1</v>
      </c>
      <c r="E19" s="221">
        <v>25</v>
      </c>
      <c r="F19" s="221">
        <v>25</v>
      </c>
      <c r="G19" s="221">
        <v>25</v>
      </c>
      <c r="H19" s="221">
        <v>25</v>
      </c>
      <c r="I19" s="221">
        <v>25</v>
      </c>
      <c r="J19" s="221">
        <v>25</v>
      </c>
      <c r="K19" s="221">
        <v>33</v>
      </c>
      <c r="L19" s="221">
        <v>33</v>
      </c>
      <c r="M19" s="221">
        <v>33</v>
      </c>
      <c r="N19" s="221">
        <v>33</v>
      </c>
      <c r="O19" s="221">
        <v>25</v>
      </c>
      <c r="P19" s="221">
        <v>33</v>
      </c>
      <c r="Q19" s="221">
        <v>33</v>
      </c>
      <c r="R19" s="221">
        <v>33</v>
      </c>
      <c r="S19" s="221">
        <v>33</v>
      </c>
      <c r="T19" s="221">
        <v>33</v>
      </c>
      <c r="U19" s="221">
        <v>33</v>
      </c>
      <c r="V19" s="221">
        <v>25</v>
      </c>
      <c r="W19" s="221">
        <v>25</v>
      </c>
      <c r="X19" s="221">
        <v>25</v>
      </c>
      <c r="Y19" s="221">
        <v>25</v>
      </c>
      <c r="Z19" s="221">
        <v>25</v>
      </c>
      <c r="AA19" s="221">
        <v>33.299999999999997</v>
      </c>
      <c r="AB19" s="221">
        <v>33.299999999999997</v>
      </c>
      <c r="AC19" s="221">
        <v>33.299999999999997</v>
      </c>
      <c r="AD19" s="221">
        <v>33.299999999999997</v>
      </c>
      <c r="AE19" s="221">
        <v>33.299999999999997</v>
      </c>
      <c r="AF19" s="221">
        <v>33.299999999999997</v>
      </c>
      <c r="AG19" s="229">
        <v>24.2</v>
      </c>
      <c r="AH19" s="226">
        <f t="shared" si="2"/>
        <v>33.299999999999997</v>
      </c>
      <c r="AI19" s="227">
        <f t="shared" si="3"/>
        <v>25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23.5</v>
      </c>
      <c r="AE20" s="221">
        <v>23.5</v>
      </c>
      <c r="AF20" s="221">
        <v>23.5</v>
      </c>
      <c r="AG20" s="229">
        <v>23.5</v>
      </c>
      <c r="AH20" s="226">
        <f t="shared" si="2"/>
        <v>23.5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0</v>
      </c>
      <c r="AC22" s="221">
        <v>0</v>
      </c>
      <c r="AD22" s="221">
        <v>10</v>
      </c>
      <c r="AE22" s="221">
        <v>10</v>
      </c>
      <c r="AF22" s="221">
        <v>10</v>
      </c>
      <c r="AG22" s="229">
        <v>22.1</v>
      </c>
      <c r="AH22" s="226">
        <f t="shared" si="2"/>
        <v>20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20</v>
      </c>
      <c r="C23" s="221">
        <v>20</v>
      </c>
      <c r="D23" s="221">
        <v>20</v>
      </c>
      <c r="E23" s="221">
        <v>20</v>
      </c>
      <c r="F23" s="221">
        <v>20</v>
      </c>
      <c r="G23" s="221">
        <v>20</v>
      </c>
      <c r="H23" s="221">
        <v>20</v>
      </c>
      <c r="I23" s="221">
        <v>20</v>
      </c>
      <c r="J23" s="221">
        <v>20</v>
      </c>
      <c r="K23" s="221">
        <v>20</v>
      </c>
      <c r="L23" s="221">
        <v>20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0</v>
      </c>
      <c r="N25" s="221">
        <v>10</v>
      </c>
      <c r="O25" s="221">
        <v>10</v>
      </c>
      <c r="P25" s="221">
        <v>10</v>
      </c>
      <c r="Q25" s="221">
        <v>10</v>
      </c>
      <c r="R25" s="221">
        <v>10</v>
      </c>
      <c r="S25" s="221">
        <v>10</v>
      </c>
      <c r="T25" s="221">
        <v>10</v>
      </c>
      <c r="U25" s="221">
        <v>10</v>
      </c>
      <c r="V25" s="221">
        <v>10</v>
      </c>
      <c r="W25" s="221">
        <v>10</v>
      </c>
      <c r="X25" s="221">
        <v>10</v>
      </c>
      <c r="Y25" s="221">
        <v>10</v>
      </c>
      <c r="Z25" s="221">
        <v>10</v>
      </c>
      <c r="AA25" s="221">
        <v>15</v>
      </c>
      <c r="AB25" s="221">
        <v>15</v>
      </c>
      <c r="AC25" s="221">
        <v>15</v>
      </c>
      <c r="AD25" s="221">
        <v>15</v>
      </c>
      <c r="AE25" s="221">
        <v>15</v>
      </c>
      <c r="AF25" s="221">
        <v>15</v>
      </c>
      <c r="AG25" s="229">
        <v>20</v>
      </c>
      <c r="AH25" s="226">
        <f t="shared" si="2"/>
        <v>15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14.9</v>
      </c>
      <c r="C26" s="221">
        <v>14.9</v>
      </c>
      <c r="D26" s="221">
        <v>14.9</v>
      </c>
      <c r="E26" s="221">
        <v>14.9</v>
      </c>
      <c r="F26" s="221">
        <v>14.9</v>
      </c>
      <c r="G26" s="221">
        <v>14.9</v>
      </c>
      <c r="H26" s="221">
        <v>14.9</v>
      </c>
      <c r="I26" s="221">
        <v>14.9</v>
      </c>
      <c r="J26" s="221">
        <v>14.9</v>
      </c>
      <c r="K26" s="221">
        <v>14.9</v>
      </c>
      <c r="L26" s="221">
        <v>14.9</v>
      </c>
      <c r="M26" s="221">
        <v>14.9</v>
      </c>
      <c r="N26" s="221">
        <v>14.9</v>
      </c>
      <c r="O26" s="221">
        <v>14.9</v>
      </c>
      <c r="P26" s="221">
        <v>14.9</v>
      </c>
      <c r="Q26" s="221">
        <v>14.9</v>
      </c>
      <c r="R26" s="221">
        <v>14.9</v>
      </c>
      <c r="S26" s="221">
        <v>14.9</v>
      </c>
      <c r="T26" s="221">
        <v>14.9</v>
      </c>
      <c r="U26" s="221">
        <v>14.9</v>
      </c>
      <c r="V26" s="221">
        <v>14.9</v>
      </c>
      <c r="W26" s="221">
        <v>14.9</v>
      </c>
      <c r="X26" s="221">
        <v>14.9</v>
      </c>
      <c r="Y26" s="221">
        <v>14.9</v>
      </c>
      <c r="Z26" s="221">
        <v>14.9</v>
      </c>
      <c r="AA26" s="221">
        <v>14.9</v>
      </c>
      <c r="AB26" s="221">
        <v>0</v>
      </c>
      <c r="AC26" s="221">
        <v>0</v>
      </c>
      <c r="AD26" s="221">
        <v>8</v>
      </c>
      <c r="AE26" s="221">
        <v>8</v>
      </c>
      <c r="AF26" s="221">
        <v>8</v>
      </c>
      <c r="AG26" s="229">
        <v>14.9</v>
      </c>
      <c r="AH26" s="226">
        <f t="shared" si="2"/>
        <v>14.9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0</v>
      </c>
      <c r="C27" s="221">
        <v>0</v>
      </c>
      <c r="D27" s="221">
        <v>0</v>
      </c>
      <c r="E27" s="221">
        <v>0</v>
      </c>
      <c r="F27" s="221">
        <v>0</v>
      </c>
      <c r="G27" s="221">
        <v>0</v>
      </c>
      <c r="H27" s="221">
        <v>0</v>
      </c>
      <c r="I27" s="221">
        <v>0</v>
      </c>
      <c r="J27" s="221">
        <v>0</v>
      </c>
      <c r="K27" s="221">
        <v>0</v>
      </c>
      <c r="L27" s="221">
        <v>0</v>
      </c>
      <c r="M27" s="221">
        <v>0</v>
      </c>
      <c r="N27" s="221">
        <v>0</v>
      </c>
      <c r="O27" s="221">
        <v>10</v>
      </c>
      <c r="P27" s="221">
        <v>10</v>
      </c>
      <c r="Q27" s="221">
        <v>10</v>
      </c>
      <c r="R27" s="221">
        <v>10</v>
      </c>
      <c r="S27" s="221">
        <v>10</v>
      </c>
      <c r="T27" s="221">
        <v>10</v>
      </c>
      <c r="U27" s="221">
        <v>10</v>
      </c>
      <c r="V27" s="221">
        <v>10</v>
      </c>
      <c r="W27" s="221">
        <v>10</v>
      </c>
      <c r="X27" s="221">
        <v>10</v>
      </c>
      <c r="Y27" s="221">
        <v>10</v>
      </c>
      <c r="Z27" s="221">
        <v>10</v>
      </c>
      <c r="AA27" s="221">
        <v>10</v>
      </c>
      <c r="AB27" s="221">
        <v>10</v>
      </c>
      <c r="AC27" s="221">
        <v>10</v>
      </c>
      <c r="AD27" s="221">
        <v>10</v>
      </c>
      <c r="AE27" s="221">
        <v>10</v>
      </c>
      <c r="AF27" s="221">
        <v>10</v>
      </c>
      <c r="AG27" s="229">
        <v>13.6</v>
      </c>
      <c r="AH27" s="226">
        <f t="shared" si="2"/>
        <v>10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11.8</v>
      </c>
      <c r="C32" s="221">
        <v>11.8</v>
      </c>
      <c r="D32" s="221">
        <v>11.8</v>
      </c>
      <c r="E32" s="221">
        <v>11.8</v>
      </c>
      <c r="F32" s="221">
        <v>11.8</v>
      </c>
      <c r="G32" s="221">
        <v>11.8</v>
      </c>
      <c r="H32" s="221">
        <v>11.8</v>
      </c>
      <c r="I32" s="221">
        <v>11.8</v>
      </c>
      <c r="J32" s="221">
        <v>11.8</v>
      </c>
      <c r="K32" s="221">
        <v>11.8</v>
      </c>
      <c r="L32" s="221">
        <v>11.8</v>
      </c>
      <c r="M32" s="221">
        <v>11.8</v>
      </c>
      <c r="N32" s="221">
        <v>11.8</v>
      </c>
      <c r="O32" s="221">
        <v>6</v>
      </c>
      <c r="P32" s="221">
        <v>0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11.8</v>
      </c>
      <c r="AI32" s="227">
        <f t="shared" si="3"/>
        <v>0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10</v>
      </c>
      <c r="C34" s="221">
        <v>10</v>
      </c>
      <c r="D34" s="221">
        <v>10</v>
      </c>
      <c r="E34" s="221">
        <v>10</v>
      </c>
      <c r="F34" s="221">
        <v>10</v>
      </c>
      <c r="G34" s="221">
        <v>10</v>
      </c>
      <c r="H34" s="221">
        <v>10</v>
      </c>
      <c r="I34" s="221">
        <v>10</v>
      </c>
      <c r="J34" s="221">
        <v>10</v>
      </c>
      <c r="K34" s="221">
        <v>10</v>
      </c>
      <c r="L34" s="221">
        <v>10</v>
      </c>
      <c r="M34" s="221">
        <v>0</v>
      </c>
      <c r="N34" s="221">
        <v>0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10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4</v>
      </c>
      <c r="O35" s="221">
        <v>4</v>
      </c>
      <c r="P35" s="221">
        <v>4</v>
      </c>
      <c r="Q35" s="221">
        <v>4</v>
      </c>
      <c r="R35" s="221">
        <v>4</v>
      </c>
      <c r="S35" s="221">
        <v>4</v>
      </c>
      <c r="T35" s="221">
        <v>4</v>
      </c>
      <c r="U35" s="221">
        <v>4</v>
      </c>
      <c r="V35" s="221">
        <v>4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4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f>98.3+71.3</f>
        <v>169.6</v>
      </c>
      <c r="C37" s="237">
        <f>98.4+64.4</f>
        <v>162.80000000000001</v>
      </c>
      <c r="D37" s="237">
        <f>98+64</f>
        <v>162</v>
      </c>
      <c r="E37" s="237">
        <f>98.1+66.2</f>
        <v>164.3</v>
      </c>
      <c r="F37" s="237">
        <f>98+66.2</f>
        <v>164.2</v>
      </c>
      <c r="G37" s="237">
        <f>97.1+70.8</f>
        <v>167.89999999999998</v>
      </c>
      <c r="H37" s="237">
        <f>97.6+70.6</f>
        <v>168.2</v>
      </c>
      <c r="I37" s="237">
        <f>97.2+70</f>
        <v>167.2</v>
      </c>
      <c r="J37" s="237">
        <f>96.8+66.9</f>
        <v>163.69999999999999</v>
      </c>
      <c r="K37" s="237">
        <f>97.9+65</f>
        <v>162.9</v>
      </c>
      <c r="L37" s="237">
        <v>163</v>
      </c>
      <c r="M37" s="237">
        <f>63.2+100.1</f>
        <v>163.30000000000001</v>
      </c>
      <c r="N37" s="237">
        <f>65.9+100.5</f>
        <v>166.4</v>
      </c>
      <c r="O37" s="237">
        <f>74.1+101.6</f>
        <v>175.7</v>
      </c>
      <c r="P37" s="237">
        <f>72.7+101.4</f>
        <v>174.10000000000002</v>
      </c>
      <c r="Q37" s="237">
        <f>69.7+101.7</f>
        <v>171.4</v>
      </c>
      <c r="R37" s="237">
        <f>75.1+101.4</f>
        <v>176.5</v>
      </c>
      <c r="S37" s="239">
        <f>75.1+101.9</f>
        <v>177</v>
      </c>
      <c r="T37" s="239">
        <f>177.5</f>
        <v>177.5</v>
      </c>
      <c r="U37" s="239">
        <f>177</f>
        <v>177</v>
      </c>
      <c r="V37" s="239">
        <f>95.9+68.5</f>
        <v>164.4</v>
      </c>
      <c r="W37" s="239">
        <f>95.9+68.5</f>
        <v>164.4</v>
      </c>
      <c r="X37" s="239">
        <f>174.4</f>
        <v>174.4</v>
      </c>
      <c r="Y37" s="239">
        <v>174</v>
      </c>
      <c r="Z37" s="239">
        <f>99+72.5</f>
        <v>171.5</v>
      </c>
      <c r="AA37" s="239">
        <f>99.1+73.1</f>
        <v>172.2</v>
      </c>
      <c r="AB37" s="239">
        <f>99.1+73.1</f>
        <v>172.2</v>
      </c>
      <c r="AC37" s="239">
        <v>0</v>
      </c>
      <c r="AD37" s="239">
        <v>100</v>
      </c>
      <c r="AE37" s="239">
        <v>132</v>
      </c>
      <c r="AF37" s="239">
        <v>132</v>
      </c>
      <c r="AG37" s="235">
        <v>240</v>
      </c>
      <c r="AH37" s="226">
        <f t="shared" si="2"/>
        <v>177.5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>SUM(B11:B36)</f>
        <v>760.2</v>
      </c>
      <c r="C38" s="241">
        <f t="shared" ref="C38:AG38" si="4">SUM(C11:C36)</f>
        <v>760.2</v>
      </c>
      <c r="D38" s="241">
        <f t="shared" si="4"/>
        <v>760.2</v>
      </c>
      <c r="E38" s="241">
        <f t="shared" si="4"/>
        <v>744.09999999999991</v>
      </c>
      <c r="F38" s="241">
        <f t="shared" si="4"/>
        <v>744.09999999999991</v>
      </c>
      <c r="G38" s="241">
        <f t="shared" si="4"/>
        <v>744.09999999999991</v>
      </c>
      <c r="H38" s="241">
        <f t="shared" si="4"/>
        <v>754.09999999999991</v>
      </c>
      <c r="I38" s="241">
        <f t="shared" si="4"/>
        <v>754.09999999999991</v>
      </c>
      <c r="J38" s="241">
        <f t="shared" si="4"/>
        <v>754.09999999999991</v>
      </c>
      <c r="K38" s="241">
        <f t="shared" si="4"/>
        <v>788.09999999999991</v>
      </c>
      <c r="L38" s="241">
        <f t="shared" si="4"/>
        <v>788.09999999999991</v>
      </c>
      <c r="M38" s="241">
        <f t="shared" si="4"/>
        <v>756.09999999999991</v>
      </c>
      <c r="N38" s="241">
        <f t="shared" si="4"/>
        <v>768.09999999999991</v>
      </c>
      <c r="O38" s="241">
        <f t="shared" si="4"/>
        <v>808.3</v>
      </c>
      <c r="P38" s="241">
        <f t="shared" si="4"/>
        <v>810.3</v>
      </c>
      <c r="Q38" s="241">
        <f t="shared" si="4"/>
        <v>821.8</v>
      </c>
      <c r="R38" s="241">
        <f t="shared" si="4"/>
        <v>821.8</v>
      </c>
      <c r="S38" s="241">
        <f t="shared" si="4"/>
        <v>825.8</v>
      </c>
      <c r="T38" s="241">
        <f t="shared" si="4"/>
        <v>825.8</v>
      </c>
      <c r="U38" s="241">
        <f t="shared" si="4"/>
        <v>820.9</v>
      </c>
      <c r="V38" s="241">
        <f t="shared" si="4"/>
        <v>812.9</v>
      </c>
      <c r="W38" s="241">
        <f>SUM(W11:W36)</f>
        <v>796.9</v>
      </c>
      <c r="X38" s="241">
        <f t="shared" si="4"/>
        <v>798.9</v>
      </c>
      <c r="Y38" s="241">
        <f t="shared" si="4"/>
        <v>808.9</v>
      </c>
      <c r="Z38" s="241">
        <f t="shared" si="4"/>
        <v>814.9</v>
      </c>
      <c r="AA38" s="241">
        <f t="shared" si="4"/>
        <v>822.2</v>
      </c>
      <c r="AB38" s="241">
        <f t="shared" si="4"/>
        <v>762.3</v>
      </c>
      <c r="AC38" s="241">
        <f t="shared" si="4"/>
        <v>762.3</v>
      </c>
      <c r="AD38" s="241">
        <f t="shared" si="4"/>
        <v>782.3</v>
      </c>
      <c r="AE38" s="241">
        <f t="shared" si="4"/>
        <v>782.3</v>
      </c>
      <c r="AF38" s="241">
        <f t="shared" si="4"/>
        <v>767.3</v>
      </c>
      <c r="AG38" s="242">
        <f t="shared" si="4"/>
        <v>665.78</v>
      </c>
      <c r="AH38" s="226">
        <f t="shared" si="2"/>
        <v>825.8</v>
      </c>
      <c r="AI38" s="227">
        <f t="shared" si="3"/>
        <v>744.09999999999991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424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424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506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506</v>
      </c>
      <c r="AK42" s="228"/>
    </row>
    <row r="43" spans="1:88" x14ac:dyDescent="0.25">
      <c r="A43" s="220" t="s">
        <v>51</v>
      </c>
      <c r="B43" s="221">
        <v>141.19999999999999</v>
      </c>
      <c r="C43" s="221">
        <v>141.19999999999999</v>
      </c>
      <c r="D43" s="221">
        <v>84.5</v>
      </c>
      <c r="E43" s="221">
        <v>133.19999999999999</v>
      </c>
      <c r="F43" s="221">
        <v>141.30000000000001</v>
      </c>
      <c r="G43" s="221">
        <v>141.80000000000001</v>
      </c>
      <c r="H43" s="221">
        <v>141.69999999999999</v>
      </c>
      <c r="I43" s="221">
        <v>141.80000000000001</v>
      </c>
      <c r="J43" s="221">
        <v>141.6</v>
      </c>
      <c r="K43" s="221">
        <v>141.80000000000001</v>
      </c>
      <c r="L43" s="221">
        <v>141.80000000000001</v>
      </c>
      <c r="M43" s="221">
        <v>142.5</v>
      </c>
      <c r="N43" s="221">
        <v>142.5</v>
      </c>
      <c r="O43" s="221">
        <v>142.5</v>
      </c>
      <c r="P43" s="221">
        <v>142.5</v>
      </c>
      <c r="Q43" s="221">
        <v>142.5</v>
      </c>
      <c r="R43" s="221">
        <v>142.5</v>
      </c>
      <c r="S43" s="221">
        <v>142.5</v>
      </c>
      <c r="T43" s="221">
        <v>142.69999999999999</v>
      </c>
      <c r="U43" s="221">
        <v>142.5</v>
      </c>
      <c r="V43" s="221">
        <v>142.6</v>
      </c>
      <c r="W43" s="221">
        <v>142</v>
      </c>
      <c r="X43" s="221">
        <v>142.4</v>
      </c>
      <c r="Y43" s="221">
        <v>142.4</v>
      </c>
      <c r="Z43" s="221">
        <v>142.4</v>
      </c>
      <c r="AA43" s="221">
        <v>143</v>
      </c>
      <c r="AB43" s="221">
        <v>143</v>
      </c>
      <c r="AC43" s="221">
        <v>143</v>
      </c>
      <c r="AD43" s="221">
        <v>143</v>
      </c>
      <c r="AE43" s="221">
        <v>143</v>
      </c>
      <c r="AF43" s="221">
        <v>143</v>
      </c>
      <c r="AG43" s="230">
        <v>144</v>
      </c>
      <c r="AH43" s="226">
        <f t="shared" si="2"/>
        <v>143</v>
      </c>
      <c r="AI43" s="227">
        <f t="shared" si="3"/>
        <v>84.5</v>
      </c>
      <c r="AK43" s="228"/>
    </row>
    <row r="44" spans="1:88" x14ac:dyDescent="0.25">
      <c r="A44" s="234" t="s">
        <v>52</v>
      </c>
      <c r="B44" s="245">
        <v>72.8</v>
      </c>
      <c r="C44" s="245">
        <v>72.8</v>
      </c>
      <c r="D44" s="245">
        <v>71.900000000000006</v>
      </c>
      <c r="E44" s="245">
        <v>62.1</v>
      </c>
      <c r="F44" s="245">
        <v>70</v>
      </c>
      <c r="G44" s="245">
        <v>70</v>
      </c>
      <c r="H44" s="245">
        <v>69.7</v>
      </c>
      <c r="I44" s="245">
        <v>70.3</v>
      </c>
      <c r="J44" s="245">
        <v>72.099999999999994</v>
      </c>
      <c r="K44" s="245">
        <v>72.5</v>
      </c>
      <c r="L44" s="245">
        <v>72.5</v>
      </c>
      <c r="M44" s="245">
        <v>72.400000000000006</v>
      </c>
      <c r="N44" s="245">
        <v>72.400000000000006</v>
      </c>
      <c r="O44" s="245">
        <v>72.400000000000006</v>
      </c>
      <c r="P44" s="245">
        <v>72.400000000000006</v>
      </c>
      <c r="Q44" s="245">
        <v>72.400000000000006</v>
      </c>
      <c r="R44" s="245">
        <v>72.400000000000006</v>
      </c>
      <c r="S44" s="245">
        <v>72.400000000000006</v>
      </c>
      <c r="T44" s="245">
        <v>72.400000000000006</v>
      </c>
      <c r="U44" s="245">
        <v>70.7</v>
      </c>
      <c r="V44" s="245">
        <v>70.3</v>
      </c>
      <c r="W44" s="245">
        <v>70.400000000000006</v>
      </c>
      <c r="X44" s="245">
        <v>70.400000000000006</v>
      </c>
      <c r="Y44" s="245">
        <v>70.400000000000006</v>
      </c>
      <c r="Z44" s="245">
        <v>70.400000000000006</v>
      </c>
      <c r="AA44" s="245">
        <v>71.8</v>
      </c>
      <c r="AB44" s="245">
        <v>71.8</v>
      </c>
      <c r="AC44" s="245">
        <v>71.8</v>
      </c>
      <c r="AD44" s="245">
        <v>71.8</v>
      </c>
      <c r="AE44" s="245">
        <v>71.8</v>
      </c>
      <c r="AF44" s="245">
        <v>71.8</v>
      </c>
      <c r="AG44" s="235">
        <v>70</v>
      </c>
      <c r="AH44" s="226">
        <f t="shared" si="2"/>
        <v>72.8</v>
      </c>
      <c r="AI44" s="227">
        <f t="shared" si="3"/>
        <v>62.1</v>
      </c>
      <c r="AK44" s="228"/>
    </row>
    <row r="45" spans="1:88" x14ac:dyDescent="0.25">
      <c r="A45" s="234" t="s">
        <v>53</v>
      </c>
      <c r="B45" s="245">
        <v>64.2</v>
      </c>
      <c r="C45" s="245">
        <v>64.2</v>
      </c>
      <c r="D45" s="245">
        <v>64.2</v>
      </c>
      <c r="E45" s="245">
        <v>52.3</v>
      </c>
      <c r="F45" s="245">
        <v>63.5</v>
      </c>
      <c r="G45" s="245">
        <v>63.5</v>
      </c>
      <c r="H45" s="245">
        <v>64.2</v>
      </c>
      <c r="I45" s="245">
        <v>64.2</v>
      </c>
      <c r="J45" s="245">
        <v>64.099999999999994</v>
      </c>
      <c r="K45" s="245">
        <v>64.3</v>
      </c>
      <c r="L45" s="245">
        <v>64.3</v>
      </c>
      <c r="M45" s="245">
        <v>64.099999999999994</v>
      </c>
      <c r="N45" s="245">
        <v>64.099999999999994</v>
      </c>
      <c r="O45" s="245">
        <v>64.099999999999994</v>
      </c>
      <c r="P45" s="245">
        <v>64.099999999999994</v>
      </c>
      <c r="Q45" s="245">
        <v>64.099999999999994</v>
      </c>
      <c r="R45" s="245">
        <v>64.099999999999994</v>
      </c>
      <c r="S45" s="245">
        <v>64.099999999999994</v>
      </c>
      <c r="T45" s="245">
        <v>64.099999999999994</v>
      </c>
      <c r="U45" s="245">
        <v>65.099999999999994</v>
      </c>
      <c r="V45" s="245">
        <v>64.8</v>
      </c>
      <c r="W45" s="245">
        <v>64.599999999999994</v>
      </c>
      <c r="X45" s="245">
        <v>64.599999999999994</v>
      </c>
      <c r="Y45" s="245">
        <v>64.599999999999994</v>
      </c>
      <c r="Z45" s="245">
        <v>64.599999999999994</v>
      </c>
      <c r="AA45" s="245">
        <v>64.2</v>
      </c>
      <c r="AB45" s="245">
        <v>64.2</v>
      </c>
      <c r="AC45" s="245">
        <v>64.2</v>
      </c>
      <c r="AD45" s="245">
        <v>64.2</v>
      </c>
      <c r="AE45" s="245">
        <v>64.2</v>
      </c>
      <c r="AF45" s="245">
        <v>64.2</v>
      </c>
      <c r="AG45" s="235">
        <v>69</v>
      </c>
      <c r="AH45" s="226">
        <f t="shared" si="2"/>
        <v>65.099999999999994</v>
      </c>
      <c r="AI45" s="227">
        <f t="shared" si="3"/>
        <v>52.3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61.2</v>
      </c>
      <c r="E46" s="237">
        <v>52.9</v>
      </c>
      <c r="F46" s="237">
        <v>60.9</v>
      </c>
      <c r="G46" s="237">
        <v>60.9</v>
      </c>
      <c r="H46" s="237">
        <v>61.4</v>
      </c>
      <c r="I46" s="237">
        <v>61.4</v>
      </c>
      <c r="J46" s="237">
        <v>61.4</v>
      </c>
      <c r="K46" s="237">
        <v>61.4</v>
      </c>
      <c r="L46" s="237">
        <v>61.4</v>
      </c>
      <c r="M46" s="237">
        <v>61.4</v>
      </c>
      <c r="N46" s="237">
        <v>61.4</v>
      </c>
      <c r="O46" s="237">
        <v>61.4</v>
      </c>
      <c r="P46" s="237">
        <v>61.4</v>
      </c>
      <c r="Q46" s="237">
        <v>61.4</v>
      </c>
      <c r="R46" s="237">
        <v>61.4</v>
      </c>
      <c r="S46" s="237">
        <v>61.4</v>
      </c>
      <c r="T46" s="237">
        <v>61.4</v>
      </c>
      <c r="U46" s="221">
        <v>60.4</v>
      </c>
      <c r="V46" s="221">
        <v>60.4</v>
      </c>
      <c r="W46" s="245">
        <v>60.5</v>
      </c>
      <c r="X46" s="245">
        <v>60.5</v>
      </c>
      <c r="Y46" s="245">
        <v>60.5</v>
      </c>
      <c r="Z46" s="245">
        <v>60.5</v>
      </c>
      <c r="AA46" s="245">
        <v>60.2</v>
      </c>
      <c r="AB46" s="245">
        <v>60.2</v>
      </c>
      <c r="AC46" s="245">
        <v>60.2</v>
      </c>
      <c r="AD46" s="245">
        <v>60.2</v>
      </c>
      <c r="AE46" s="245">
        <v>60.2</v>
      </c>
      <c r="AF46" s="245">
        <v>60.2</v>
      </c>
      <c r="AG46" s="235">
        <v>60</v>
      </c>
      <c r="AH46" s="226">
        <f t="shared" si="2"/>
        <v>61.4</v>
      </c>
      <c r="AI46" s="227">
        <f t="shared" si="3"/>
        <v>52.9</v>
      </c>
      <c r="AK46" s="228"/>
    </row>
    <row r="47" spans="1:88" x14ac:dyDescent="0.25">
      <c r="A47" s="234" t="s">
        <v>55</v>
      </c>
      <c r="B47" s="237">
        <v>28.9</v>
      </c>
      <c r="C47" s="237">
        <v>28.9</v>
      </c>
      <c r="D47" s="237">
        <v>28.9</v>
      </c>
      <c r="E47" s="237">
        <v>28.9</v>
      </c>
      <c r="F47" s="237">
        <v>28.9</v>
      </c>
      <c r="G47" s="237">
        <v>28.9</v>
      </c>
      <c r="H47" s="237">
        <v>28.9</v>
      </c>
      <c r="I47" s="237">
        <v>28.9</v>
      </c>
      <c r="J47" s="237">
        <v>28.9</v>
      </c>
      <c r="K47" s="237">
        <v>28.9</v>
      </c>
      <c r="L47" s="237">
        <v>28.9</v>
      </c>
      <c r="M47" s="237">
        <v>29</v>
      </c>
      <c r="N47" s="237">
        <v>29</v>
      </c>
      <c r="O47" s="237">
        <v>29</v>
      </c>
      <c r="P47" s="237">
        <v>29</v>
      </c>
      <c r="Q47" s="237">
        <v>29</v>
      </c>
      <c r="R47" s="237">
        <v>29</v>
      </c>
      <c r="S47" s="237">
        <v>29</v>
      </c>
      <c r="T47" s="237">
        <v>29</v>
      </c>
      <c r="U47" s="221">
        <v>28.7</v>
      </c>
      <c r="V47" s="221">
        <v>28.7</v>
      </c>
      <c r="W47" s="245">
        <v>28.9</v>
      </c>
      <c r="X47" s="245">
        <v>28.9</v>
      </c>
      <c r="Y47" s="245">
        <v>28.9</v>
      </c>
      <c r="Z47" s="245">
        <v>28.9</v>
      </c>
      <c r="AA47" s="245">
        <v>28.8</v>
      </c>
      <c r="AB47" s="245">
        <v>28.8</v>
      </c>
      <c r="AC47" s="245">
        <v>28.8</v>
      </c>
      <c r="AD47" s="245">
        <v>28.8</v>
      </c>
      <c r="AE47" s="245">
        <v>28.8</v>
      </c>
      <c r="AF47" s="245">
        <v>28.8</v>
      </c>
      <c r="AG47" s="235">
        <v>30</v>
      </c>
      <c r="AH47" s="226">
        <f t="shared" si="2"/>
        <v>29</v>
      </c>
      <c r="AI47" s="227">
        <f t="shared" si="3"/>
        <v>28.7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37">
        <v>0</v>
      </c>
      <c r="G48" s="237">
        <v>0</v>
      </c>
      <c r="H48" s="237">
        <v>0</v>
      </c>
      <c r="I48" s="237">
        <v>0</v>
      </c>
      <c r="J48" s="237">
        <v>0</v>
      </c>
      <c r="K48" s="237">
        <v>0</v>
      </c>
      <c r="L48" s="237">
        <v>0</v>
      </c>
      <c r="M48" s="237">
        <v>8</v>
      </c>
      <c r="N48" s="237">
        <v>8</v>
      </c>
      <c r="O48" s="237">
        <v>12</v>
      </c>
      <c r="P48" s="237">
        <v>15</v>
      </c>
      <c r="Q48" s="237">
        <v>15</v>
      </c>
      <c r="R48" s="237">
        <v>15</v>
      </c>
      <c r="S48" s="237">
        <v>15</v>
      </c>
      <c r="T48" s="237">
        <v>15</v>
      </c>
      <c r="U48" s="221">
        <v>15</v>
      </c>
      <c r="V48" s="221">
        <v>15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15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17.399999999999999</v>
      </c>
      <c r="C49" s="245">
        <v>17.399999999999999</v>
      </c>
      <c r="D49" s="245">
        <v>17.399999999999999</v>
      </c>
      <c r="E49" s="245">
        <v>17.399999999999999</v>
      </c>
      <c r="F49" s="245">
        <v>17.100000000000001</v>
      </c>
      <c r="G49" s="245">
        <v>17.100000000000001</v>
      </c>
      <c r="H49" s="245">
        <v>17.100000000000001</v>
      </c>
      <c r="I49" s="245">
        <v>17.100000000000001</v>
      </c>
      <c r="J49" s="245">
        <v>17.100000000000001</v>
      </c>
      <c r="K49" s="245">
        <v>17.100000000000001</v>
      </c>
      <c r="L49" s="245">
        <v>17.100000000000001</v>
      </c>
      <c r="M49" s="245">
        <v>17.100000000000001</v>
      </c>
      <c r="N49" s="245">
        <v>17.100000000000001</v>
      </c>
      <c r="O49" s="245">
        <v>17.100000000000001</v>
      </c>
      <c r="P49" s="245">
        <v>17.100000000000001</v>
      </c>
      <c r="Q49" s="245">
        <v>17.100000000000001</v>
      </c>
      <c r="R49" s="245">
        <v>17.100000000000001</v>
      </c>
      <c r="S49" s="245">
        <v>17.2</v>
      </c>
      <c r="T49" s="245">
        <v>17.100000000000001</v>
      </c>
      <c r="U49" s="221">
        <v>17.5</v>
      </c>
      <c r="V49" s="221">
        <v>17.5</v>
      </c>
      <c r="W49" s="221">
        <v>17.5</v>
      </c>
      <c r="X49" s="221">
        <v>17.5</v>
      </c>
      <c r="Y49" s="221">
        <v>17.5</v>
      </c>
      <c r="Z49" s="221">
        <v>17.5</v>
      </c>
      <c r="AA49" s="221">
        <v>17.399999999999999</v>
      </c>
      <c r="AB49" s="221">
        <v>17.399999999999999</v>
      </c>
      <c r="AC49" s="221">
        <v>17.399999999999999</v>
      </c>
      <c r="AD49" s="221">
        <v>17.399999999999999</v>
      </c>
      <c r="AE49" s="221">
        <v>17.399999999999999</v>
      </c>
      <c r="AF49" s="221">
        <v>17.399999999999999</v>
      </c>
      <c r="AG49" s="235">
        <v>24</v>
      </c>
      <c r="AH49" s="226">
        <f t="shared" si="2"/>
        <v>17.5</v>
      </c>
      <c r="AI49" s="227">
        <f t="shared" si="3"/>
        <v>17.100000000000001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45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14</v>
      </c>
      <c r="C51" s="245">
        <v>14</v>
      </c>
      <c r="D51" s="245">
        <v>13.4</v>
      </c>
      <c r="E51" s="245">
        <v>13.4</v>
      </c>
      <c r="F51" s="245">
        <v>13.6</v>
      </c>
      <c r="G51" s="245">
        <v>13.6</v>
      </c>
      <c r="H51" s="245">
        <v>13.6</v>
      </c>
      <c r="I51" s="245">
        <v>13.6</v>
      </c>
      <c r="J51" s="245">
        <v>13.6</v>
      </c>
      <c r="K51" s="245">
        <v>13.6</v>
      </c>
      <c r="L51" s="245">
        <v>13.6</v>
      </c>
      <c r="M51" s="245">
        <v>12.9</v>
      </c>
      <c r="N51" s="245">
        <v>12.9</v>
      </c>
      <c r="O51" s="245">
        <v>13</v>
      </c>
      <c r="P51" s="245">
        <v>13</v>
      </c>
      <c r="Q51" s="245">
        <v>13</v>
      </c>
      <c r="R51" s="245">
        <v>13</v>
      </c>
      <c r="S51" s="245">
        <v>13.1</v>
      </c>
      <c r="T51" s="245">
        <v>13.1</v>
      </c>
      <c r="U51" s="221">
        <v>13.3</v>
      </c>
      <c r="V51" s="221">
        <v>13.3</v>
      </c>
      <c r="W51" s="221">
        <v>13.3</v>
      </c>
      <c r="X51" s="221">
        <v>13.3</v>
      </c>
      <c r="Y51" s="221">
        <v>13.3</v>
      </c>
      <c r="Z51" s="221">
        <v>13.3</v>
      </c>
      <c r="AA51" s="221">
        <v>13.3</v>
      </c>
      <c r="AB51" s="221">
        <v>13.3</v>
      </c>
      <c r="AC51" s="221">
        <v>13.3</v>
      </c>
      <c r="AD51" s="221">
        <v>13.3</v>
      </c>
      <c r="AE51" s="221">
        <v>13.3</v>
      </c>
      <c r="AF51" s="221">
        <v>13.3</v>
      </c>
      <c r="AG51" s="235">
        <v>14.1</v>
      </c>
      <c r="AH51" s="226">
        <f t="shared" si="2"/>
        <v>14</v>
      </c>
      <c r="AI51" s="227">
        <f t="shared" si="3"/>
        <v>12.9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7</v>
      </c>
      <c r="E52" s="245">
        <v>7</v>
      </c>
      <c r="F52" s="245">
        <v>13.7</v>
      </c>
      <c r="G52" s="245">
        <v>13.7</v>
      </c>
      <c r="H52" s="245">
        <v>13.7</v>
      </c>
      <c r="I52" s="245">
        <v>13.7</v>
      </c>
      <c r="J52" s="245">
        <v>13.7</v>
      </c>
      <c r="K52" s="245">
        <v>13.7</v>
      </c>
      <c r="L52" s="245">
        <v>13.7</v>
      </c>
      <c r="M52" s="245">
        <v>0</v>
      </c>
      <c r="N52" s="245">
        <v>7.2</v>
      </c>
      <c r="O52" s="245">
        <v>14.1</v>
      </c>
      <c r="P52" s="245">
        <v>14.1</v>
      </c>
      <c r="Q52" s="245">
        <v>14.1</v>
      </c>
      <c r="R52" s="245">
        <v>14.1</v>
      </c>
      <c r="S52" s="245">
        <v>14.1</v>
      </c>
      <c r="T52" s="245">
        <v>14.1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14.1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45">
        <v>10</v>
      </c>
      <c r="O53" s="245">
        <v>10</v>
      </c>
      <c r="P53" s="245">
        <v>10</v>
      </c>
      <c r="Q53" s="245">
        <v>10</v>
      </c>
      <c r="R53" s="245">
        <v>10</v>
      </c>
      <c r="S53" s="245">
        <v>10</v>
      </c>
      <c r="T53" s="245">
        <v>10</v>
      </c>
      <c r="U53" s="221">
        <v>10</v>
      </c>
      <c r="V53" s="221">
        <v>10</v>
      </c>
      <c r="W53" s="221">
        <v>10</v>
      </c>
      <c r="X53" s="221">
        <v>10</v>
      </c>
      <c r="Y53" s="221">
        <v>10</v>
      </c>
      <c r="Z53" s="221">
        <v>10</v>
      </c>
      <c r="AA53" s="221">
        <v>10</v>
      </c>
      <c r="AB53" s="221">
        <v>10</v>
      </c>
      <c r="AC53" s="221">
        <v>10</v>
      </c>
      <c r="AD53" s="221">
        <v>10</v>
      </c>
      <c r="AE53" s="221">
        <v>10</v>
      </c>
      <c r="AF53" s="221">
        <v>10</v>
      </c>
      <c r="AG53" s="235">
        <v>10.050000000000001</v>
      </c>
      <c r="AH53" s="226">
        <f t="shared" si="2"/>
        <v>10</v>
      </c>
      <c r="AI53" s="227">
        <f t="shared" si="3"/>
        <v>10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0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0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435.63999999999993</v>
      </c>
      <c r="C56" s="241">
        <f t="shared" ref="C56:AG56" si="6">SUM(C43:C55)</f>
        <v>435.63999999999993</v>
      </c>
      <c r="D56" s="241">
        <f t="shared" si="6"/>
        <v>371.23999999999995</v>
      </c>
      <c r="E56" s="241">
        <f t="shared" si="6"/>
        <v>389.93999999999988</v>
      </c>
      <c r="F56" s="241">
        <f t="shared" si="6"/>
        <v>431.74</v>
      </c>
      <c r="G56" s="241">
        <f t="shared" si="6"/>
        <v>432.24</v>
      </c>
      <c r="H56" s="241">
        <f t="shared" si="6"/>
        <v>433.03999999999996</v>
      </c>
      <c r="I56" s="241">
        <f t="shared" si="6"/>
        <v>433.74</v>
      </c>
      <c r="J56" s="241">
        <f t="shared" si="6"/>
        <v>435.23999999999995</v>
      </c>
      <c r="K56" s="241">
        <f t="shared" si="6"/>
        <v>436.04</v>
      </c>
      <c r="L56" s="241">
        <f t="shared" si="6"/>
        <v>436.04</v>
      </c>
      <c r="M56" s="241">
        <f t="shared" si="6"/>
        <v>430.14</v>
      </c>
      <c r="N56" s="241">
        <f t="shared" si="6"/>
        <v>437.34</v>
      </c>
      <c r="O56" s="241">
        <f t="shared" si="6"/>
        <v>448.34000000000003</v>
      </c>
      <c r="P56" s="241">
        <f t="shared" si="6"/>
        <v>451.34000000000003</v>
      </c>
      <c r="Q56" s="241">
        <f t="shared" si="6"/>
        <v>451.34000000000003</v>
      </c>
      <c r="R56" s="241">
        <f t="shared" si="6"/>
        <v>451.34000000000003</v>
      </c>
      <c r="S56" s="241">
        <f t="shared" si="6"/>
        <v>451.54</v>
      </c>
      <c r="T56" s="241">
        <f t="shared" si="6"/>
        <v>451.64000000000004</v>
      </c>
      <c r="U56" s="241">
        <f t="shared" si="6"/>
        <v>449.93999999999994</v>
      </c>
      <c r="V56" s="241">
        <f t="shared" si="6"/>
        <v>449.34</v>
      </c>
      <c r="W56" s="241">
        <f>SUM(W43:W55)</f>
        <v>433.94</v>
      </c>
      <c r="X56" s="241">
        <f t="shared" si="6"/>
        <v>434.34</v>
      </c>
      <c r="Y56" s="241">
        <f t="shared" si="6"/>
        <v>434.34</v>
      </c>
      <c r="Z56" s="241">
        <f t="shared" si="6"/>
        <v>434.34</v>
      </c>
      <c r="AA56" s="241">
        <f t="shared" si="6"/>
        <v>435.44</v>
      </c>
      <c r="AB56" s="241">
        <f t="shared" si="6"/>
        <v>435.44</v>
      </c>
      <c r="AC56" s="241">
        <f t="shared" si="6"/>
        <v>429.24</v>
      </c>
      <c r="AD56" s="241">
        <f t="shared" si="6"/>
        <v>435.44</v>
      </c>
      <c r="AE56" s="241">
        <f t="shared" si="6"/>
        <v>435.44</v>
      </c>
      <c r="AF56" s="241">
        <f t="shared" si="6"/>
        <v>435.44</v>
      </c>
      <c r="AG56" s="242">
        <f t="shared" si="6"/>
        <v>489.91</v>
      </c>
      <c r="AH56" s="226">
        <f t="shared" si="2"/>
        <v>451.64000000000004</v>
      </c>
      <c r="AI56" s="227">
        <f t="shared" si="3"/>
        <v>371.23999999999995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11</v>
      </c>
      <c r="N57" s="221">
        <v>11</v>
      </c>
      <c r="O57" s="221">
        <v>0</v>
      </c>
      <c r="P57" s="221">
        <v>0</v>
      </c>
      <c r="Q57" s="221">
        <v>20</v>
      </c>
      <c r="R57" s="221">
        <v>14.5</v>
      </c>
      <c r="S57" s="221">
        <v>9.9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29.4</v>
      </c>
      <c r="AA57" s="221">
        <v>29.4</v>
      </c>
      <c r="AB57" s="221">
        <v>0</v>
      </c>
      <c r="AC57" s="221">
        <v>0</v>
      </c>
      <c r="AD57" s="221">
        <v>30</v>
      </c>
      <c r="AE57" s="221">
        <v>0</v>
      </c>
      <c r="AF57" s="221">
        <v>0</v>
      </c>
      <c r="AG57" s="230">
        <v>60</v>
      </c>
      <c r="AH57" s="226">
        <f t="shared" si="2"/>
        <v>30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3.9</v>
      </c>
      <c r="N58" s="245">
        <v>3.9</v>
      </c>
      <c r="O58" s="245">
        <v>0</v>
      </c>
      <c r="P58" s="245">
        <v>0</v>
      </c>
      <c r="Q58" s="245">
        <v>12</v>
      </c>
      <c r="R58" s="245">
        <v>6.3</v>
      </c>
      <c r="S58" s="245">
        <v>3.8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14</v>
      </c>
      <c r="AA58" s="245">
        <v>14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14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1.4</v>
      </c>
      <c r="N59" s="247">
        <v>1.4</v>
      </c>
      <c r="O59" s="247">
        <v>0</v>
      </c>
      <c r="P59" s="247">
        <v>0</v>
      </c>
      <c r="Q59" s="247">
        <v>5.8</v>
      </c>
      <c r="R59" s="247">
        <v>2.2999999999999998</v>
      </c>
      <c r="S59" s="247">
        <v>1.4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5.0999999999999996</v>
      </c>
      <c r="AA59" s="247">
        <v>5.0999999999999996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5.8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16.3</v>
      </c>
      <c r="N60" s="241">
        <f t="shared" si="7"/>
        <v>16.3</v>
      </c>
      <c r="O60" s="241">
        <f t="shared" si="7"/>
        <v>0</v>
      </c>
      <c r="P60" s="241">
        <f t="shared" si="7"/>
        <v>0</v>
      </c>
      <c r="Q60" s="241">
        <f t="shared" si="7"/>
        <v>37.799999999999997</v>
      </c>
      <c r="R60" s="241">
        <f t="shared" si="7"/>
        <v>23.1</v>
      </c>
      <c r="S60" s="241">
        <f t="shared" si="7"/>
        <v>15.1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48.5</v>
      </c>
      <c r="AA60" s="241">
        <f t="shared" si="7"/>
        <v>48.5</v>
      </c>
      <c r="AB60" s="241">
        <f t="shared" si="7"/>
        <v>0</v>
      </c>
      <c r="AC60" s="241">
        <f t="shared" si="7"/>
        <v>0</v>
      </c>
      <c r="AD60" s="241">
        <f t="shared" si="7"/>
        <v>30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48.5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24.2</v>
      </c>
      <c r="C61" s="221">
        <v>24.1</v>
      </c>
      <c r="D61" s="221">
        <v>24.7</v>
      </c>
      <c r="E61" s="221">
        <v>13.4</v>
      </c>
      <c r="F61" s="221">
        <v>0</v>
      </c>
      <c r="G61" s="221">
        <v>0</v>
      </c>
      <c r="H61" s="221">
        <v>0</v>
      </c>
      <c r="I61" s="221">
        <v>8</v>
      </c>
      <c r="J61" s="221">
        <v>3.6</v>
      </c>
      <c r="K61" s="221">
        <v>9</v>
      </c>
      <c r="L61" s="221">
        <v>15</v>
      </c>
      <c r="M61" s="221">
        <v>40.700000000000003</v>
      </c>
      <c r="N61" s="221">
        <v>43.6</v>
      </c>
      <c r="O61" s="221">
        <v>53.1</v>
      </c>
      <c r="P61" s="221">
        <v>18.899999999999999</v>
      </c>
      <c r="Q61" s="221">
        <v>20.100000000000001</v>
      </c>
      <c r="R61" s="221">
        <v>22</v>
      </c>
      <c r="S61" s="221">
        <v>22.9</v>
      </c>
      <c r="T61" s="221">
        <v>53.8</v>
      </c>
      <c r="U61" s="221">
        <v>61.5</v>
      </c>
      <c r="V61" s="221">
        <v>19.8</v>
      </c>
      <c r="W61" s="221">
        <v>16</v>
      </c>
      <c r="X61" s="221">
        <v>13.9</v>
      </c>
      <c r="Y61" s="221">
        <v>15</v>
      </c>
      <c r="Z61" s="221">
        <v>20.5</v>
      </c>
      <c r="AA61" s="221">
        <v>42.6</v>
      </c>
      <c r="AB61" s="221">
        <v>44.6</v>
      </c>
      <c r="AC61" s="221">
        <v>47</v>
      </c>
      <c r="AD61" s="221">
        <v>47</v>
      </c>
      <c r="AE61" s="221">
        <v>44</v>
      </c>
      <c r="AF61" s="221">
        <v>0</v>
      </c>
      <c r="AG61" s="230"/>
      <c r="AH61" s="226">
        <f t="shared" si="2"/>
        <v>61.5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-381</v>
      </c>
      <c r="C63" s="245">
        <v>-388</v>
      </c>
      <c r="D63" s="245">
        <v>-396.2</v>
      </c>
      <c r="E63" s="245">
        <v>-400.2</v>
      </c>
      <c r="F63" s="245">
        <v>-380</v>
      </c>
      <c r="G63" s="245">
        <v>-377</v>
      </c>
      <c r="H63" s="245">
        <v>-390</v>
      </c>
      <c r="I63" s="245">
        <v>-400</v>
      </c>
      <c r="J63" s="245">
        <v>-390</v>
      </c>
      <c r="K63" s="245">
        <v>-380</v>
      </c>
      <c r="L63" s="245">
        <v>-380</v>
      </c>
      <c r="M63" s="245">
        <v>-363.9</v>
      </c>
      <c r="N63" s="245">
        <v>-372.3</v>
      </c>
      <c r="O63" s="245">
        <v>-400.3</v>
      </c>
      <c r="P63" s="245">
        <v>-365</v>
      </c>
      <c r="Q63" s="245">
        <v>-376.5</v>
      </c>
      <c r="R63" s="245">
        <v>-358</v>
      </c>
      <c r="S63" s="245">
        <v>-373.8</v>
      </c>
      <c r="T63" s="245">
        <v>-382</v>
      </c>
      <c r="U63" s="245">
        <v>-404.5</v>
      </c>
      <c r="V63" s="245">
        <v>-402.9</v>
      </c>
      <c r="W63" s="245">
        <v>-390</v>
      </c>
      <c r="X63" s="245">
        <v>-372.2</v>
      </c>
      <c r="Y63" s="245">
        <v>-340</v>
      </c>
      <c r="Z63" s="245">
        <v>-225.2</v>
      </c>
      <c r="AA63" s="245">
        <v>-247</v>
      </c>
      <c r="AB63" s="245">
        <v>-180</v>
      </c>
      <c r="AC63" s="245">
        <v>-220</v>
      </c>
      <c r="AD63" s="245">
        <v>-270</v>
      </c>
      <c r="AE63" s="245">
        <v>-300</v>
      </c>
      <c r="AF63" s="245">
        <v>-317</v>
      </c>
      <c r="AG63" s="255"/>
      <c r="AH63" s="226">
        <f t="shared" si="2"/>
        <v>-180</v>
      </c>
      <c r="AI63" s="227">
        <f t="shared" si="3"/>
        <v>-404.5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4</v>
      </c>
      <c r="C66" s="257">
        <v>4</v>
      </c>
      <c r="D66" s="257">
        <v>4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5</v>
      </c>
      <c r="P66" s="257">
        <v>5</v>
      </c>
      <c r="Q66" s="257">
        <v>5</v>
      </c>
      <c r="R66" s="257">
        <v>5</v>
      </c>
      <c r="S66" s="257">
        <v>5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>
        <v>5</v>
      </c>
      <c r="AA66" s="257">
        <v>8</v>
      </c>
      <c r="AB66" s="257">
        <v>8</v>
      </c>
      <c r="AC66" s="257">
        <v>8</v>
      </c>
      <c r="AD66" s="257">
        <v>8</v>
      </c>
      <c r="AE66" s="257">
        <v>8</v>
      </c>
      <c r="AF66" s="257">
        <v>8</v>
      </c>
      <c r="AG66" s="255"/>
      <c r="AH66" s="226">
        <f t="shared" si="2"/>
        <v>8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28.2</v>
      </c>
      <c r="C72" s="241">
        <f t="shared" ref="C72:L72" si="8">SUMIF(C61:C71,"&gt;0")</f>
        <v>28.1</v>
      </c>
      <c r="D72" s="241">
        <f t="shared" si="8"/>
        <v>28.7</v>
      </c>
      <c r="E72" s="241">
        <f t="shared" si="8"/>
        <v>13.4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8</v>
      </c>
      <c r="J72" s="241">
        <f t="shared" si="8"/>
        <v>3.6</v>
      </c>
      <c r="K72" s="241">
        <f t="shared" si="8"/>
        <v>9</v>
      </c>
      <c r="L72" s="241">
        <f t="shared" si="8"/>
        <v>15</v>
      </c>
      <c r="M72" s="241">
        <f>SUMIF(M61:M71,"&gt;0")</f>
        <v>40.700000000000003</v>
      </c>
      <c r="N72" s="241">
        <f t="shared" ref="N72:AF72" si="9">SUMIF(N61:N71,"&gt;0")</f>
        <v>43.6</v>
      </c>
      <c r="O72" s="241">
        <f t="shared" si="9"/>
        <v>58.1</v>
      </c>
      <c r="P72" s="241">
        <f t="shared" si="9"/>
        <v>23.9</v>
      </c>
      <c r="Q72" s="241">
        <f t="shared" si="9"/>
        <v>25.1</v>
      </c>
      <c r="R72" s="241">
        <f t="shared" si="9"/>
        <v>27</v>
      </c>
      <c r="S72" s="241">
        <f t="shared" si="9"/>
        <v>27.9</v>
      </c>
      <c r="T72" s="241">
        <f t="shared" si="9"/>
        <v>58.8</v>
      </c>
      <c r="U72" s="241">
        <f t="shared" si="9"/>
        <v>66.5</v>
      </c>
      <c r="V72" s="241">
        <f t="shared" si="9"/>
        <v>24.8</v>
      </c>
      <c r="W72" s="241">
        <f t="shared" si="9"/>
        <v>21</v>
      </c>
      <c r="X72" s="241">
        <f t="shared" si="9"/>
        <v>18.899999999999999</v>
      </c>
      <c r="Y72" s="241">
        <f t="shared" si="9"/>
        <v>20</v>
      </c>
      <c r="Z72" s="241">
        <f t="shared" si="9"/>
        <v>25.5</v>
      </c>
      <c r="AA72" s="241">
        <f t="shared" si="9"/>
        <v>50.6</v>
      </c>
      <c r="AB72" s="241">
        <f t="shared" si="9"/>
        <v>52.6</v>
      </c>
      <c r="AC72" s="241">
        <f t="shared" si="9"/>
        <v>55</v>
      </c>
      <c r="AD72" s="241">
        <f t="shared" si="9"/>
        <v>55</v>
      </c>
      <c r="AE72" s="241">
        <f t="shared" si="9"/>
        <v>52</v>
      </c>
      <c r="AF72" s="241">
        <f t="shared" si="9"/>
        <v>8</v>
      </c>
      <c r="AG72" s="261">
        <f>SUM(AG61:AG71)</f>
        <v>0</v>
      </c>
      <c r="AH72" s="226">
        <f t="shared" si="2"/>
        <v>66.5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1762.04</v>
      </c>
      <c r="C77" s="263">
        <f t="shared" ref="C77:AF77" si="10">C38+C42+C60+C56+C72+C76</f>
        <v>1761.9399999999998</v>
      </c>
      <c r="D77" s="263">
        <f t="shared" si="10"/>
        <v>1698.14</v>
      </c>
      <c r="E77" s="263">
        <f t="shared" si="10"/>
        <v>1685.4399999999998</v>
      </c>
      <c r="F77" s="263">
        <f t="shared" si="10"/>
        <v>1713.84</v>
      </c>
      <c r="G77" s="263">
        <f t="shared" si="10"/>
        <v>1714.34</v>
      </c>
      <c r="H77" s="263">
        <f t="shared" si="10"/>
        <v>1725.1399999999999</v>
      </c>
      <c r="I77" s="263">
        <f t="shared" si="10"/>
        <v>1701.84</v>
      </c>
      <c r="J77" s="263">
        <f t="shared" si="10"/>
        <v>1730.9399999999998</v>
      </c>
      <c r="K77" s="263">
        <f t="shared" si="10"/>
        <v>1771.1399999999999</v>
      </c>
      <c r="L77" s="263">
        <f t="shared" si="10"/>
        <v>1777.1399999999999</v>
      </c>
      <c r="M77" s="263">
        <f t="shared" si="10"/>
        <v>1781.24</v>
      </c>
      <c r="N77" s="263">
        <f t="shared" si="10"/>
        <v>1803.3399999999997</v>
      </c>
      <c r="O77" s="263">
        <f t="shared" si="10"/>
        <v>1852.7399999999998</v>
      </c>
      <c r="P77" s="263">
        <f t="shared" si="10"/>
        <v>1823.54</v>
      </c>
      <c r="Q77" s="263">
        <f t="shared" si="10"/>
        <v>1874.04</v>
      </c>
      <c r="R77" s="263">
        <f t="shared" si="10"/>
        <v>1861.2399999999998</v>
      </c>
      <c r="S77" s="263">
        <f t="shared" si="10"/>
        <v>1858.34</v>
      </c>
      <c r="T77" s="263">
        <f t="shared" si="10"/>
        <v>1874.24</v>
      </c>
      <c r="U77" s="263">
        <f t="shared" si="10"/>
        <v>1875.3400000000001</v>
      </c>
      <c r="V77" s="263">
        <f t="shared" si="10"/>
        <v>1825.04</v>
      </c>
      <c r="W77" s="263">
        <f t="shared" si="10"/>
        <v>1789.8400000000001</v>
      </c>
      <c r="X77" s="263">
        <f t="shared" si="10"/>
        <v>1790.14</v>
      </c>
      <c r="Y77" s="263">
        <f t="shared" si="10"/>
        <v>1801.24</v>
      </c>
      <c r="Z77" s="263">
        <f t="shared" si="10"/>
        <v>1861.24</v>
      </c>
      <c r="AA77" s="263">
        <f t="shared" si="10"/>
        <v>1894.74</v>
      </c>
      <c r="AB77" s="263">
        <f t="shared" si="10"/>
        <v>1788.34</v>
      </c>
      <c r="AC77" s="263">
        <f t="shared" si="10"/>
        <v>1784.54</v>
      </c>
      <c r="AD77" s="263">
        <f t="shared" si="10"/>
        <v>1840.74</v>
      </c>
      <c r="AE77" s="263">
        <f t="shared" si="10"/>
        <v>1807.74</v>
      </c>
      <c r="AF77" s="263">
        <f t="shared" si="10"/>
        <v>1748.74</v>
      </c>
      <c r="AG77" s="242">
        <f>AG38+AG42+AG60+AG56+AG72+AG76</f>
        <v>1855.1900000000003</v>
      </c>
      <c r="AH77" s="226">
        <f t="shared" si="2"/>
        <v>1894.74</v>
      </c>
      <c r="AI77" s="227">
        <f t="shared" si="3"/>
        <v>1685.4399999999998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>
        <v>30</v>
      </c>
      <c r="X78" s="265">
        <v>30</v>
      </c>
      <c r="Y78" s="265">
        <v>30</v>
      </c>
      <c r="Z78" s="265">
        <v>20</v>
      </c>
      <c r="AA78" s="265">
        <v>20</v>
      </c>
      <c r="AB78" s="265">
        <v>20</v>
      </c>
      <c r="AC78" s="265">
        <v>130</v>
      </c>
      <c r="AD78" s="265"/>
      <c r="AE78" s="265"/>
      <c r="AF78" s="265"/>
      <c r="AG78" s="261"/>
      <c r="AH78" s="226">
        <f t="shared" si="2"/>
        <v>130</v>
      </c>
      <c r="AI78" s="227">
        <f t="shared" si="3"/>
        <v>20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1762.04</v>
      </c>
      <c r="C79" s="263">
        <f t="shared" ref="C79:AF79" si="11">C77+C78</f>
        <v>1761.9399999999998</v>
      </c>
      <c r="D79" s="263">
        <f t="shared" si="11"/>
        <v>1698.14</v>
      </c>
      <c r="E79" s="263">
        <f t="shared" si="11"/>
        <v>1685.4399999999998</v>
      </c>
      <c r="F79" s="263">
        <f t="shared" si="11"/>
        <v>1713.84</v>
      </c>
      <c r="G79" s="263">
        <f t="shared" si="11"/>
        <v>1714.34</v>
      </c>
      <c r="H79" s="263">
        <f t="shared" si="11"/>
        <v>1725.1399999999999</v>
      </c>
      <c r="I79" s="263">
        <f t="shared" si="11"/>
        <v>1701.84</v>
      </c>
      <c r="J79" s="263">
        <f t="shared" si="11"/>
        <v>1730.9399999999998</v>
      </c>
      <c r="K79" s="263">
        <f t="shared" si="11"/>
        <v>1771.1399999999999</v>
      </c>
      <c r="L79" s="263">
        <f t="shared" si="11"/>
        <v>1777.1399999999999</v>
      </c>
      <c r="M79" s="263">
        <f t="shared" si="11"/>
        <v>1781.24</v>
      </c>
      <c r="N79" s="263">
        <f t="shared" si="11"/>
        <v>1803.3399999999997</v>
      </c>
      <c r="O79" s="263">
        <f t="shared" si="11"/>
        <v>1852.7399999999998</v>
      </c>
      <c r="P79" s="263">
        <f t="shared" si="11"/>
        <v>1823.54</v>
      </c>
      <c r="Q79" s="263">
        <f t="shared" si="11"/>
        <v>1874.04</v>
      </c>
      <c r="R79" s="263">
        <f t="shared" si="11"/>
        <v>1861.2399999999998</v>
      </c>
      <c r="S79" s="263">
        <f t="shared" si="11"/>
        <v>1858.34</v>
      </c>
      <c r="T79" s="263">
        <f t="shared" si="11"/>
        <v>1874.24</v>
      </c>
      <c r="U79" s="263">
        <f t="shared" si="11"/>
        <v>1875.3400000000001</v>
      </c>
      <c r="V79" s="263">
        <f t="shared" si="11"/>
        <v>1825.04</v>
      </c>
      <c r="W79" s="263">
        <f t="shared" si="11"/>
        <v>1819.8400000000001</v>
      </c>
      <c r="X79" s="263">
        <f t="shared" si="11"/>
        <v>1820.14</v>
      </c>
      <c r="Y79" s="263">
        <f t="shared" si="11"/>
        <v>1831.24</v>
      </c>
      <c r="Z79" s="263">
        <f t="shared" si="11"/>
        <v>1881.24</v>
      </c>
      <c r="AA79" s="263">
        <f t="shared" si="11"/>
        <v>1914.74</v>
      </c>
      <c r="AB79" s="263">
        <f t="shared" si="11"/>
        <v>1808.34</v>
      </c>
      <c r="AC79" s="263">
        <f t="shared" si="11"/>
        <v>1914.54</v>
      </c>
      <c r="AD79" s="263">
        <f t="shared" si="11"/>
        <v>1840.74</v>
      </c>
      <c r="AE79" s="263">
        <f t="shared" si="11"/>
        <v>1807.74</v>
      </c>
      <c r="AF79" s="263">
        <f t="shared" si="11"/>
        <v>1748.74</v>
      </c>
      <c r="AG79" s="261">
        <f>AG76+AG72+AG60+AG56+AG38+AG78</f>
        <v>1317.0900000000001</v>
      </c>
      <c r="AH79" s="226">
        <f t="shared" si="2"/>
        <v>1914.74</v>
      </c>
      <c r="AI79" s="227">
        <f t="shared" si="3"/>
        <v>1685.4399999999998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>B79-B87</f>
        <v>1381.04</v>
      </c>
      <c r="C80" s="263">
        <f t="shared" ref="C80:AF80" si="12">C79-C87</f>
        <v>1373.9399999999998</v>
      </c>
      <c r="D80" s="263">
        <f t="shared" si="12"/>
        <v>1301.94</v>
      </c>
      <c r="E80" s="263">
        <f t="shared" si="12"/>
        <v>1285.2399999999998</v>
      </c>
      <c r="F80" s="263">
        <f t="shared" si="12"/>
        <v>1333.84</v>
      </c>
      <c r="G80" s="263">
        <f t="shared" si="12"/>
        <v>1337.34</v>
      </c>
      <c r="H80" s="263">
        <f t="shared" si="12"/>
        <v>1335.1399999999999</v>
      </c>
      <c r="I80" s="263">
        <f t="shared" si="12"/>
        <v>1301.8399999999999</v>
      </c>
      <c r="J80" s="263">
        <f t="shared" si="12"/>
        <v>1340.9399999999998</v>
      </c>
      <c r="K80" s="263">
        <f t="shared" si="12"/>
        <v>1391.1399999999999</v>
      </c>
      <c r="L80" s="263">
        <f t="shared" si="12"/>
        <v>1397.1399999999999</v>
      </c>
      <c r="M80" s="263">
        <f t="shared" si="12"/>
        <v>1417.3400000000001</v>
      </c>
      <c r="N80" s="263">
        <f t="shared" si="12"/>
        <v>1431.0399999999997</v>
      </c>
      <c r="O80" s="263">
        <f t="shared" si="12"/>
        <v>1452.4399999999998</v>
      </c>
      <c r="P80" s="263">
        <f t="shared" si="12"/>
        <v>1458.54</v>
      </c>
      <c r="Q80" s="263">
        <f t="shared" si="12"/>
        <v>1497.54</v>
      </c>
      <c r="R80" s="263">
        <f t="shared" si="12"/>
        <v>1503.2399999999998</v>
      </c>
      <c r="S80" s="263">
        <f t="shared" si="12"/>
        <v>1484.54</v>
      </c>
      <c r="T80" s="263">
        <f t="shared" si="12"/>
        <v>1492.24</v>
      </c>
      <c r="U80" s="263">
        <f t="shared" si="12"/>
        <v>1470.8400000000001</v>
      </c>
      <c r="V80" s="263">
        <f t="shared" si="12"/>
        <v>1422.1399999999999</v>
      </c>
      <c r="W80" s="263">
        <f t="shared" si="12"/>
        <v>1429.8400000000001</v>
      </c>
      <c r="X80" s="263">
        <f t="shared" si="12"/>
        <v>1447.94</v>
      </c>
      <c r="Y80" s="263">
        <f t="shared" si="12"/>
        <v>1491.24</v>
      </c>
      <c r="Z80" s="263">
        <f t="shared" si="12"/>
        <v>1656.04</v>
      </c>
      <c r="AA80" s="263">
        <f t="shared" si="12"/>
        <v>1667.74</v>
      </c>
      <c r="AB80" s="263">
        <f t="shared" si="12"/>
        <v>1628.34</v>
      </c>
      <c r="AC80" s="263">
        <f t="shared" si="12"/>
        <v>1694.54</v>
      </c>
      <c r="AD80" s="263">
        <f t="shared" si="12"/>
        <v>1570.74</v>
      </c>
      <c r="AE80" s="263">
        <f t="shared" si="12"/>
        <v>1507.74</v>
      </c>
      <c r="AF80" s="263">
        <f t="shared" si="12"/>
        <v>1431.74</v>
      </c>
      <c r="AG80" s="261"/>
      <c r="AH80" s="226">
        <f t="shared" ref="AH80:AH97" si="13">MAX(B80:AF80)</f>
        <v>1694.54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381</v>
      </c>
      <c r="C84" s="256">
        <f t="shared" ref="C84:AF84" si="18">IF(C63&lt;0,C63*-1,0)</f>
        <v>388</v>
      </c>
      <c r="D84" s="256">
        <f t="shared" si="18"/>
        <v>396.2</v>
      </c>
      <c r="E84" s="256">
        <f t="shared" si="18"/>
        <v>400.2</v>
      </c>
      <c r="F84" s="256">
        <f t="shared" si="18"/>
        <v>380</v>
      </c>
      <c r="G84" s="256">
        <f t="shared" si="18"/>
        <v>377</v>
      </c>
      <c r="H84" s="256">
        <f t="shared" si="18"/>
        <v>390</v>
      </c>
      <c r="I84" s="256">
        <f t="shared" si="18"/>
        <v>400</v>
      </c>
      <c r="J84" s="256">
        <f t="shared" si="18"/>
        <v>390</v>
      </c>
      <c r="K84" s="256">
        <f t="shared" si="18"/>
        <v>380</v>
      </c>
      <c r="L84" s="256">
        <f t="shared" si="18"/>
        <v>380</v>
      </c>
      <c r="M84" s="256">
        <f t="shared" si="18"/>
        <v>363.9</v>
      </c>
      <c r="N84" s="256">
        <f t="shared" si="18"/>
        <v>372.3</v>
      </c>
      <c r="O84" s="256">
        <f t="shared" si="18"/>
        <v>400.3</v>
      </c>
      <c r="P84" s="256">
        <f t="shared" si="18"/>
        <v>365</v>
      </c>
      <c r="Q84" s="256">
        <f t="shared" si="18"/>
        <v>376.5</v>
      </c>
      <c r="R84" s="256">
        <f t="shared" si="18"/>
        <v>358</v>
      </c>
      <c r="S84" s="256">
        <f t="shared" si="18"/>
        <v>373.8</v>
      </c>
      <c r="T84" s="256">
        <f t="shared" si="18"/>
        <v>382</v>
      </c>
      <c r="U84" s="256">
        <f t="shared" si="18"/>
        <v>404.5</v>
      </c>
      <c r="V84" s="256">
        <f t="shared" si="18"/>
        <v>402.9</v>
      </c>
      <c r="W84" s="256">
        <f t="shared" si="18"/>
        <v>390</v>
      </c>
      <c r="X84" s="256">
        <f t="shared" si="18"/>
        <v>372.2</v>
      </c>
      <c r="Y84" s="256">
        <f t="shared" si="18"/>
        <v>340</v>
      </c>
      <c r="Z84" s="256">
        <f t="shared" si="18"/>
        <v>225.2</v>
      </c>
      <c r="AA84" s="256">
        <f t="shared" si="18"/>
        <v>247</v>
      </c>
      <c r="AB84" s="256">
        <f t="shared" si="18"/>
        <v>180</v>
      </c>
      <c r="AC84" s="256">
        <f t="shared" si="18"/>
        <v>220</v>
      </c>
      <c r="AD84" s="256">
        <f t="shared" si="18"/>
        <v>270</v>
      </c>
      <c r="AE84" s="256">
        <f t="shared" si="18"/>
        <v>300</v>
      </c>
      <c r="AF84" s="256">
        <f t="shared" si="18"/>
        <v>317</v>
      </c>
      <c r="AG84" s="266"/>
      <c r="AH84" s="226">
        <f t="shared" si="13"/>
        <v>404.5</v>
      </c>
      <c r="AI84" s="227">
        <f t="shared" si="15"/>
        <v>180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381</v>
      </c>
      <c r="C87" s="241">
        <f t="shared" ref="C87:AF87" si="20">SUM(C81:C86)</f>
        <v>388</v>
      </c>
      <c r="D87" s="241">
        <f t="shared" si="20"/>
        <v>396.2</v>
      </c>
      <c r="E87" s="241">
        <f t="shared" si="20"/>
        <v>400.2</v>
      </c>
      <c r="F87" s="241">
        <f t="shared" si="20"/>
        <v>380</v>
      </c>
      <c r="G87" s="241">
        <f t="shared" si="20"/>
        <v>377</v>
      </c>
      <c r="H87" s="241">
        <f t="shared" si="20"/>
        <v>390</v>
      </c>
      <c r="I87" s="241">
        <f t="shared" si="20"/>
        <v>400</v>
      </c>
      <c r="J87" s="241">
        <f t="shared" si="20"/>
        <v>390</v>
      </c>
      <c r="K87" s="241">
        <f t="shared" si="20"/>
        <v>380</v>
      </c>
      <c r="L87" s="241">
        <f t="shared" si="20"/>
        <v>380</v>
      </c>
      <c r="M87" s="241">
        <f t="shared" si="20"/>
        <v>363.9</v>
      </c>
      <c r="N87" s="241">
        <f t="shared" si="20"/>
        <v>372.3</v>
      </c>
      <c r="O87" s="241">
        <f t="shared" si="20"/>
        <v>400.3</v>
      </c>
      <c r="P87" s="241">
        <f t="shared" si="20"/>
        <v>365</v>
      </c>
      <c r="Q87" s="241">
        <f t="shared" si="20"/>
        <v>376.5</v>
      </c>
      <c r="R87" s="241">
        <f t="shared" si="20"/>
        <v>358</v>
      </c>
      <c r="S87" s="241">
        <f t="shared" si="20"/>
        <v>373.8</v>
      </c>
      <c r="T87" s="241">
        <f t="shared" si="20"/>
        <v>382</v>
      </c>
      <c r="U87" s="241">
        <f t="shared" si="20"/>
        <v>404.5</v>
      </c>
      <c r="V87" s="241">
        <f t="shared" si="20"/>
        <v>402.9</v>
      </c>
      <c r="W87" s="241">
        <f t="shared" si="20"/>
        <v>390</v>
      </c>
      <c r="X87" s="241">
        <f t="shared" si="20"/>
        <v>372.2</v>
      </c>
      <c r="Y87" s="241">
        <f t="shared" si="20"/>
        <v>340</v>
      </c>
      <c r="Z87" s="241">
        <f t="shared" si="20"/>
        <v>225.2</v>
      </c>
      <c r="AA87" s="241">
        <f t="shared" si="20"/>
        <v>247</v>
      </c>
      <c r="AB87" s="241">
        <f t="shared" si="20"/>
        <v>180</v>
      </c>
      <c r="AC87" s="241">
        <f t="shared" si="20"/>
        <v>220</v>
      </c>
      <c r="AD87" s="241">
        <f t="shared" si="20"/>
        <v>270</v>
      </c>
      <c r="AE87" s="241">
        <f t="shared" si="20"/>
        <v>300</v>
      </c>
      <c r="AF87" s="241">
        <f t="shared" si="20"/>
        <v>317</v>
      </c>
      <c r="AG87" s="261"/>
      <c r="AH87" s="226">
        <f t="shared" si="13"/>
        <v>404.5</v>
      </c>
      <c r="AI87" s="227">
        <f t="shared" si="15"/>
        <v>180</v>
      </c>
      <c r="AK87" s="228"/>
    </row>
    <row r="88" spans="1:88" s="175" customFormat="1" ht="15.75" thickBot="1" x14ac:dyDescent="0.3">
      <c r="A88" s="254" t="s">
        <v>93</v>
      </c>
      <c r="B88" s="241">
        <f>B72-B87</f>
        <v>-352.8</v>
      </c>
      <c r="C88" s="241">
        <f t="shared" ref="C88:AF88" si="21">C72-C87</f>
        <v>-359.9</v>
      </c>
      <c r="D88" s="241">
        <f t="shared" si="21"/>
        <v>-367.5</v>
      </c>
      <c r="E88" s="241">
        <f t="shared" si="21"/>
        <v>-386.8</v>
      </c>
      <c r="F88" s="241">
        <f t="shared" si="21"/>
        <v>-380</v>
      </c>
      <c r="G88" s="241">
        <f t="shared" si="21"/>
        <v>-377</v>
      </c>
      <c r="H88" s="241">
        <f t="shared" si="21"/>
        <v>-390</v>
      </c>
      <c r="I88" s="241">
        <f t="shared" si="21"/>
        <v>-392</v>
      </c>
      <c r="J88" s="241">
        <f t="shared" si="21"/>
        <v>-386.4</v>
      </c>
      <c r="K88" s="241">
        <f t="shared" si="21"/>
        <v>-371</v>
      </c>
      <c r="L88" s="241">
        <f t="shared" si="21"/>
        <v>-365</v>
      </c>
      <c r="M88" s="241">
        <f t="shared" si="21"/>
        <v>-323.2</v>
      </c>
      <c r="N88" s="241">
        <f t="shared" si="21"/>
        <v>-328.7</v>
      </c>
      <c r="O88" s="241">
        <f t="shared" si="21"/>
        <v>-342.2</v>
      </c>
      <c r="P88" s="241">
        <f t="shared" si="21"/>
        <v>-341.1</v>
      </c>
      <c r="Q88" s="241">
        <f t="shared" si="21"/>
        <v>-351.4</v>
      </c>
      <c r="R88" s="241">
        <f t="shared" si="21"/>
        <v>-331</v>
      </c>
      <c r="S88" s="241">
        <f t="shared" si="21"/>
        <v>-345.90000000000003</v>
      </c>
      <c r="T88" s="241">
        <f t="shared" si="21"/>
        <v>-323.2</v>
      </c>
      <c r="U88" s="241">
        <f t="shared" si="21"/>
        <v>-338</v>
      </c>
      <c r="V88" s="241">
        <f t="shared" si="21"/>
        <v>-378.09999999999997</v>
      </c>
      <c r="W88" s="241">
        <f t="shared" si="21"/>
        <v>-369</v>
      </c>
      <c r="X88" s="241">
        <f t="shared" si="21"/>
        <v>-353.3</v>
      </c>
      <c r="Y88" s="241">
        <f t="shared" si="21"/>
        <v>-320</v>
      </c>
      <c r="Z88" s="241">
        <f t="shared" si="21"/>
        <v>-199.7</v>
      </c>
      <c r="AA88" s="241">
        <f t="shared" si="21"/>
        <v>-196.4</v>
      </c>
      <c r="AB88" s="241">
        <f t="shared" si="21"/>
        <v>-127.4</v>
      </c>
      <c r="AC88" s="241">
        <f t="shared" si="21"/>
        <v>-165</v>
      </c>
      <c r="AD88" s="241">
        <f t="shared" si="21"/>
        <v>-215</v>
      </c>
      <c r="AE88" s="241">
        <f t="shared" si="21"/>
        <v>-248</v>
      </c>
      <c r="AF88" s="241">
        <f t="shared" si="21"/>
        <v>-309</v>
      </c>
      <c r="AG88" s="261"/>
      <c r="AH88" s="226">
        <f t="shared" si="13"/>
        <v>-127.4</v>
      </c>
      <c r="AI88" s="227">
        <f t="shared" si="15"/>
        <v>-392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49.96</v>
      </c>
      <c r="C89" s="269">
        <v>49.95</v>
      </c>
      <c r="D89" s="269">
        <v>50.000999999999998</v>
      </c>
      <c r="E89" s="269">
        <v>49.993000000000002</v>
      </c>
      <c r="F89" s="269">
        <v>50.024000000000001</v>
      </c>
      <c r="G89" s="269">
        <v>50.003999999999998</v>
      </c>
      <c r="H89" s="269">
        <v>50.06</v>
      </c>
      <c r="I89" s="269">
        <v>49.933999999999997</v>
      </c>
      <c r="J89" s="269">
        <v>49.854999999999997</v>
      </c>
      <c r="K89" s="269">
        <v>49.875999999999998</v>
      </c>
      <c r="L89" s="269">
        <v>49.875999999999998</v>
      </c>
      <c r="M89" s="269">
        <v>50.033000000000001</v>
      </c>
      <c r="N89" s="269">
        <v>50.051000000000002</v>
      </c>
      <c r="O89" s="269">
        <v>50.058999999999997</v>
      </c>
      <c r="P89" s="269">
        <v>50.030999999999999</v>
      </c>
      <c r="Q89" s="269">
        <v>49.874000000000002</v>
      </c>
      <c r="R89" s="269">
        <v>50.103000000000002</v>
      </c>
      <c r="S89" s="269">
        <v>50.006</v>
      </c>
      <c r="T89" s="269">
        <v>50.008000000000003</v>
      </c>
      <c r="U89" s="269">
        <v>50.046999999999997</v>
      </c>
      <c r="V89" s="269">
        <v>50.003999999999998</v>
      </c>
      <c r="W89" s="269">
        <v>50</v>
      </c>
      <c r="X89" s="269">
        <v>50.014000000000003</v>
      </c>
      <c r="Y89" s="269">
        <v>50</v>
      </c>
      <c r="Z89" s="269">
        <v>50.009</v>
      </c>
      <c r="AA89" s="269">
        <v>49.929000000000002</v>
      </c>
      <c r="AB89" s="269">
        <v>50.04</v>
      </c>
      <c r="AC89" s="269">
        <v>50</v>
      </c>
      <c r="AD89" s="269">
        <v>49.92</v>
      </c>
      <c r="AE89" s="269"/>
      <c r="AF89" s="269">
        <v>50</v>
      </c>
      <c r="AG89" s="270"/>
      <c r="AH89" s="226">
        <f t="shared" si="13"/>
        <v>50.103000000000002</v>
      </c>
      <c r="AI89" s="227">
        <f t="shared" si="15"/>
        <v>49.854999999999997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123.5</v>
      </c>
      <c r="C90" s="245">
        <v>123.7</v>
      </c>
      <c r="D90" s="245">
        <v>122.8</v>
      </c>
      <c r="E90" s="245">
        <v>124.6</v>
      </c>
      <c r="F90" s="245">
        <v>124.5</v>
      </c>
      <c r="G90" s="245">
        <v>124.3</v>
      </c>
      <c r="H90" s="245">
        <v>125.6</v>
      </c>
      <c r="I90" s="245">
        <v>124.4</v>
      </c>
      <c r="J90" s="245">
        <v>123.9</v>
      </c>
      <c r="K90" s="245">
        <v>122.2</v>
      </c>
      <c r="L90" s="245">
        <v>122.2</v>
      </c>
      <c r="M90" s="245">
        <v>123.8</v>
      </c>
      <c r="N90" s="245">
        <v>124.1</v>
      </c>
      <c r="O90" s="245">
        <v>122.4</v>
      </c>
      <c r="P90" s="245">
        <v>122.4</v>
      </c>
      <c r="Q90" s="245">
        <v>122.4</v>
      </c>
      <c r="R90" s="245">
        <v>122.5</v>
      </c>
      <c r="S90" s="245">
        <v>123.1</v>
      </c>
      <c r="T90" s="245">
        <v>123.4</v>
      </c>
      <c r="U90" s="245">
        <v>123.6</v>
      </c>
      <c r="V90" s="245">
        <v>123.9</v>
      </c>
      <c r="W90" s="245">
        <v>125.4</v>
      </c>
      <c r="X90" s="245">
        <v>125.5</v>
      </c>
      <c r="Y90" s="245">
        <v>125.5</v>
      </c>
      <c r="Z90" s="245">
        <v>126.2</v>
      </c>
      <c r="AA90" s="245">
        <v>126.1</v>
      </c>
      <c r="AB90" s="245">
        <v>126.1</v>
      </c>
      <c r="AC90" s="245">
        <v>126.1</v>
      </c>
      <c r="AD90" s="245">
        <v>125</v>
      </c>
      <c r="AE90" s="245"/>
      <c r="AF90" s="245">
        <v>124.5</v>
      </c>
      <c r="AG90" s="272"/>
      <c r="AH90" s="226">
        <f t="shared" si="13"/>
        <v>126.2</v>
      </c>
      <c r="AI90" s="227">
        <f t="shared" si="15"/>
        <v>122.2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129.1</v>
      </c>
      <c r="C91" s="245">
        <v>129.19999999999999</v>
      </c>
      <c r="D91" s="245">
        <v>128.80000000000001</v>
      </c>
      <c r="E91" s="245">
        <v>129.69999999999999</v>
      </c>
      <c r="F91" s="245">
        <v>129.9</v>
      </c>
      <c r="G91" s="245">
        <v>129</v>
      </c>
      <c r="H91" s="245">
        <v>129.69999999999999</v>
      </c>
      <c r="I91" s="245">
        <v>128.80000000000001</v>
      </c>
      <c r="J91" s="245">
        <v>127.4</v>
      </c>
      <c r="K91" s="245">
        <v>126</v>
      </c>
      <c r="L91" s="245">
        <v>126</v>
      </c>
      <c r="M91" s="245">
        <v>127.3</v>
      </c>
      <c r="N91" s="245">
        <v>127.5</v>
      </c>
      <c r="O91" s="245">
        <v>126</v>
      </c>
      <c r="P91" s="245">
        <v>126</v>
      </c>
      <c r="Q91" s="245">
        <v>126</v>
      </c>
      <c r="R91" s="245">
        <v>126.2</v>
      </c>
      <c r="S91" s="245">
        <v>126.4</v>
      </c>
      <c r="T91" s="245">
        <v>126.9</v>
      </c>
      <c r="U91" s="245">
        <v>126.9</v>
      </c>
      <c r="V91" s="245">
        <v>127.5</v>
      </c>
      <c r="W91" s="245">
        <v>128.80000000000001</v>
      </c>
      <c r="X91" s="245">
        <v>128.80000000000001</v>
      </c>
      <c r="Y91" s="245">
        <v>128.19999999999999</v>
      </c>
      <c r="Z91" s="245">
        <v>128.30000000000001</v>
      </c>
      <c r="AA91" s="245">
        <v>128.80000000000001</v>
      </c>
      <c r="AB91" s="245">
        <v>128.80000000000001</v>
      </c>
      <c r="AC91" s="245">
        <v>128.80000000000001</v>
      </c>
      <c r="AD91" s="245">
        <v>130</v>
      </c>
      <c r="AE91" s="245"/>
      <c r="AF91" s="245">
        <v>130</v>
      </c>
      <c r="AG91" s="272"/>
      <c r="AH91" s="226">
        <f t="shared" si="13"/>
        <v>130</v>
      </c>
      <c r="AI91" s="227">
        <f t="shared" si="15"/>
        <v>126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131.30000000000001</v>
      </c>
      <c r="C92" s="245">
        <v>131.30000000000001</v>
      </c>
      <c r="D92" s="245">
        <v>130.5</v>
      </c>
      <c r="E92" s="245">
        <v>132.30000000000001</v>
      </c>
      <c r="F92" s="245">
        <v>130.69999999999999</v>
      </c>
      <c r="G92" s="245">
        <v>130.69999999999999</v>
      </c>
      <c r="H92" s="245">
        <v>132.19999999999999</v>
      </c>
      <c r="I92" s="245">
        <v>131.6</v>
      </c>
      <c r="J92" s="245">
        <v>130.9</v>
      </c>
      <c r="K92" s="245">
        <v>129.6</v>
      </c>
      <c r="L92" s="245">
        <v>129.6</v>
      </c>
      <c r="M92" s="245">
        <v>127.7</v>
      </c>
      <c r="N92" s="245">
        <v>129</v>
      </c>
      <c r="O92" s="245">
        <v>129.30000000000001</v>
      </c>
      <c r="P92" s="245">
        <v>129.30000000000001</v>
      </c>
      <c r="Q92" s="245">
        <v>129.30000000000001</v>
      </c>
      <c r="R92" s="245">
        <v>128.80000000000001</v>
      </c>
      <c r="S92" s="245">
        <v>128.5</v>
      </c>
      <c r="T92" s="245">
        <v>130.5</v>
      </c>
      <c r="U92" s="245">
        <v>130.5</v>
      </c>
      <c r="V92" s="245">
        <v>128.80000000000001</v>
      </c>
      <c r="W92" s="245">
        <v>127.9</v>
      </c>
      <c r="X92" s="245">
        <v>129.4</v>
      </c>
      <c r="Y92" s="245">
        <v>129.4</v>
      </c>
      <c r="Z92" s="245">
        <v>130.30000000000001</v>
      </c>
      <c r="AA92" s="245">
        <v>130.19999999999999</v>
      </c>
      <c r="AB92" s="245">
        <v>130.19999999999999</v>
      </c>
      <c r="AC92" s="245">
        <v>130.19999999999999</v>
      </c>
      <c r="AD92" s="245">
        <v>130</v>
      </c>
      <c r="AE92" s="245"/>
      <c r="AF92" s="245">
        <v>130</v>
      </c>
      <c r="AG92" s="272"/>
      <c r="AH92" s="226">
        <f t="shared" si="13"/>
        <v>132.30000000000001</v>
      </c>
      <c r="AI92" s="227">
        <f t="shared" si="15"/>
        <v>127.7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134.69999999999999</v>
      </c>
      <c r="C93" s="245">
        <v>134.69999999999999</v>
      </c>
      <c r="D93" s="245">
        <v>131.80000000000001</v>
      </c>
      <c r="E93" s="245">
        <v>132.9</v>
      </c>
      <c r="F93" s="245">
        <v>132.1</v>
      </c>
      <c r="G93" s="245">
        <v>133.9</v>
      </c>
      <c r="H93" s="245">
        <v>134.69999999999999</v>
      </c>
      <c r="I93" s="245">
        <v>133.9</v>
      </c>
      <c r="J93" s="245">
        <v>132.80000000000001</v>
      </c>
      <c r="K93" s="245">
        <v>132</v>
      </c>
      <c r="L93" s="245">
        <v>132</v>
      </c>
      <c r="M93" s="245">
        <v>131.1</v>
      </c>
      <c r="N93" s="245">
        <v>131.30000000000001</v>
      </c>
      <c r="O93" s="245">
        <v>133.1</v>
      </c>
      <c r="P93" s="245">
        <v>133.1</v>
      </c>
      <c r="Q93" s="245">
        <v>133.1</v>
      </c>
      <c r="R93" s="245">
        <v>132.4</v>
      </c>
      <c r="S93" s="245">
        <v>132.6</v>
      </c>
      <c r="T93" s="245">
        <v>132.4</v>
      </c>
      <c r="U93" s="245">
        <v>133</v>
      </c>
      <c r="V93" s="245">
        <v>131.5</v>
      </c>
      <c r="W93" s="245">
        <v>131.6</v>
      </c>
      <c r="X93" s="245">
        <v>132.5</v>
      </c>
      <c r="Y93" s="245">
        <v>132.5</v>
      </c>
      <c r="Z93" s="245">
        <v>132.80000000000001</v>
      </c>
      <c r="AA93" s="245">
        <v>133.4</v>
      </c>
      <c r="AB93" s="245">
        <v>133.4</v>
      </c>
      <c r="AC93" s="245">
        <v>133.4</v>
      </c>
      <c r="AD93" s="245">
        <v>131</v>
      </c>
      <c r="AE93" s="245"/>
      <c r="AF93" s="245">
        <v>133</v>
      </c>
      <c r="AG93" s="272"/>
      <c r="AH93" s="226">
        <f t="shared" si="13"/>
        <v>134.69999999999999</v>
      </c>
      <c r="AI93" s="227">
        <f t="shared" si="15"/>
        <v>131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135.30000000000001</v>
      </c>
      <c r="C94" s="274">
        <v>135.30000000000001</v>
      </c>
      <c r="D94" s="274">
        <v>132.5</v>
      </c>
      <c r="E94" s="274">
        <v>131.80000000000001</v>
      </c>
      <c r="F94" s="274">
        <v>133.19999999999999</v>
      </c>
      <c r="G94" s="274">
        <v>130.4</v>
      </c>
      <c r="H94" s="274">
        <v>135.19999999999999</v>
      </c>
      <c r="I94" s="274">
        <v>129.6</v>
      </c>
      <c r="J94" s="274">
        <v>133.5</v>
      </c>
      <c r="K94" s="274">
        <v>131.4</v>
      </c>
      <c r="L94" s="274">
        <v>131.4</v>
      </c>
      <c r="M94" s="274">
        <v>130.9</v>
      </c>
      <c r="N94" s="274">
        <v>131.5</v>
      </c>
      <c r="O94" s="274">
        <v>134</v>
      </c>
      <c r="P94" s="274">
        <v>134</v>
      </c>
      <c r="Q94" s="274">
        <v>134</v>
      </c>
      <c r="R94" s="274">
        <v>131.6</v>
      </c>
      <c r="S94" s="274">
        <v>136.9</v>
      </c>
      <c r="T94" s="274">
        <v>134.6</v>
      </c>
      <c r="U94" s="274">
        <v>133.80000000000001</v>
      </c>
      <c r="V94" s="274">
        <v>134.9</v>
      </c>
      <c r="W94" s="274">
        <v>136.4</v>
      </c>
      <c r="X94" s="274">
        <v>134.1</v>
      </c>
      <c r="Y94" s="274">
        <v>134.1</v>
      </c>
      <c r="Z94" s="274">
        <v>133.5</v>
      </c>
      <c r="AA94" s="274">
        <v>133.4</v>
      </c>
      <c r="AB94" s="274">
        <v>133.4</v>
      </c>
      <c r="AC94" s="274">
        <v>133.4</v>
      </c>
      <c r="AD94" s="274">
        <v>131</v>
      </c>
      <c r="AE94" s="274"/>
      <c r="AF94" s="274">
        <v>134</v>
      </c>
      <c r="AG94" s="275"/>
      <c r="AH94" s="226">
        <f t="shared" si="13"/>
        <v>136.9</v>
      </c>
      <c r="AI94" s="227">
        <f t="shared" si="15"/>
        <v>129.6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135.19999999999999</v>
      </c>
      <c r="C95" s="245">
        <v>135.19999999999999</v>
      </c>
      <c r="D95" s="245">
        <v>131.19999999999999</v>
      </c>
      <c r="E95" s="245">
        <v>123.1</v>
      </c>
      <c r="F95" s="245">
        <v>128.19999999999999</v>
      </c>
      <c r="G95" s="245">
        <v>124.2</v>
      </c>
      <c r="H95" s="245">
        <v>129.1</v>
      </c>
      <c r="I95" s="245">
        <v>124.2</v>
      </c>
      <c r="J95" s="245">
        <v>130.1</v>
      </c>
      <c r="K95" s="245">
        <v>124.9</v>
      </c>
      <c r="L95" s="245">
        <v>124.9</v>
      </c>
      <c r="M95" s="245">
        <v>125</v>
      </c>
      <c r="N95" s="245">
        <v>125.2</v>
      </c>
      <c r="O95" s="245">
        <v>124.9</v>
      </c>
      <c r="P95" s="245">
        <v>124.9</v>
      </c>
      <c r="Q95" s="245">
        <v>124.9</v>
      </c>
      <c r="R95" s="245">
        <v>123.9</v>
      </c>
      <c r="S95" s="245">
        <v>134.5</v>
      </c>
      <c r="T95" s="245">
        <v>124.7</v>
      </c>
      <c r="U95" s="245">
        <v>126.4</v>
      </c>
      <c r="V95" s="245">
        <v>128.1</v>
      </c>
      <c r="W95" s="245">
        <v>130.4</v>
      </c>
      <c r="X95" s="245">
        <v>126.9</v>
      </c>
      <c r="Y95" s="245">
        <v>126.9</v>
      </c>
      <c r="Z95" s="245">
        <v>135.6</v>
      </c>
      <c r="AA95" s="245">
        <v>129.4</v>
      </c>
      <c r="AB95" s="245">
        <v>129.4</v>
      </c>
      <c r="AC95" s="245">
        <v>129.4</v>
      </c>
      <c r="AD95" s="245">
        <v>130</v>
      </c>
      <c r="AE95" s="245"/>
      <c r="AF95" s="245">
        <v>131</v>
      </c>
      <c r="AG95" s="272"/>
      <c r="AH95" s="226">
        <f t="shared" si="13"/>
        <v>135.6</v>
      </c>
      <c r="AI95" s="227">
        <f t="shared" si="15"/>
        <v>123.1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65.099999999999994</v>
      </c>
      <c r="C96" s="276">
        <v>65</v>
      </c>
      <c r="D96" s="276">
        <v>65</v>
      </c>
      <c r="E96" s="276">
        <v>65.3</v>
      </c>
      <c r="F96" s="276">
        <v>65.400000000000006</v>
      </c>
      <c r="G96" s="276">
        <v>64.900000000000006</v>
      </c>
      <c r="H96" s="276">
        <v>65.400000000000006</v>
      </c>
      <c r="I96" s="276">
        <v>64.7</v>
      </c>
      <c r="J96" s="276">
        <v>63.9</v>
      </c>
      <c r="K96" s="276">
        <v>63.2</v>
      </c>
      <c r="L96" s="276">
        <v>63.2</v>
      </c>
      <c r="M96" s="276">
        <v>64.099999999999994</v>
      </c>
      <c r="N96" s="276">
        <v>63.9</v>
      </c>
      <c r="O96" s="276">
        <v>63.1</v>
      </c>
      <c r="P96" s="276">
        <v>63.1</v>
      </c>
      <c r="Q96" s="276">
        <v>63.1</v>
      </c>
      <c r="R96" s="276">
        <v>63.3</v>
      </c>
      <c r="S96" s="276">
        <v>63.5</v>
      </c>
      <c r="T96" s="276">
        <v>63.4</v>
      </c>
      <c r="U96" s="276">
        <v>63.4</v>
      </c>
      <c r="V96" s="276">
        <v>63.9</v>
      </c>
      <c r="W96" s="276">
        <v>64.599999999999994</v>
      </c>
      <c r="X96" s="276">
        <v>64.8</v>
      </c>
      <c r="Y96" s="276">
        <v>64.8</v>
      </c>
      <c r="Z96" s="276">
        <v>64.5</v>
      </c>
      <c r="AA96" s="276">
        <v>64.900000000000006</v>
      </c>
      <c r="AB96" s="276">
        <v>64.900000000000006</v>
      </c>
      <c r="AC96" s="276">
        <v>64.900000000000006</v>
      </c>
      <c r="AD96" s="276">
        <v>65.3</v>
      </c>
      <c r="AE96" s="276"/>
      <c r="AF96" s="276">
        <v>65.3</v>
      </c>
      <c r="AG96" s="277"/>
      <c r="AH96" s="226">
        <f t="shared" si="13"/>
        <v>65.400000000000006</v>
      </c>
      <c r="AI96" s="227">
        <f t="shared" si="15"/>
        <v>63.1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>SUM(B15,B18,B21:B22,B46,B48:B49,B51,B53,B99:B102,B124,B130,B136,B145,B147,B159,B166,B169:B170,B177,B179,B181,B185:B187,B189:B191,B196,B202:B203,B205:B207,B215,B220)</f>
        <v>36.800000000000018</v>
      </c>
      <c r="C98" s="280">
        <f t="shared" ref="C98:AF98" si="22">SUM(C15,C18,C21:C22,C46,C48:C49,C51,C53,C99:C102,C124,C130,C136,C145,C147,C159,C166,C169:C170,C177,C179,C181,C185:C187,C189:C191,C196,C202:C203,C205:C207,C215,C220)</f>
        <v>22.740000000000013</v>
      </c>
      <c r="D98" s="280">
        <f t="shared" si="22"/>
        <v>9.4399999999999906</v>
      </c>
      <c r="E98" s="280">
        <f t="shared" si="22"/>
        <v>9.0400000000000293</v>
      </c>
      <c r="F98" s="280">
        <f t="shared" si="22"/>
        <v>26.539999999999985</v>
      </c>
      <c r="G98" s="280">
        <f t="shared" si="22"/>
        <v>54.339999999999989</v>
      </c>
      <c r="H98" s="280">
        <f t="shared" si="22"/>
        <v>60.239999999999995</v>
      </c>
      <c r="I98" s="280">
        <f t="shared" si="22"/>
        <v>82.34</v>
      </c>
      <c r="J98" s="280">
        <f t="shared" si="22"/>
        <v>115.44</v>
      </c>
      <c r="K98" s="280">
        <f t="shared" si="22"/>
        <v>157.34</v>
      </c>
      <c r="L98" s="280">
        <f t="shared" si="22"/>
        <v>157.34</v>
      </c>
      <c r="M98" s="280">
        <f t="shared" si="22"/>
        <v>234.64</v>
      </c>
      <c r="N98" s="280">
        <f t="shared" si="22"/>
        <v>227.24</v>
      </c>
      <c r="O98" s="280">
        <f t="shared" si="22"/>
        <v>236.84</v>
      </c>
      <c r="P98" s="280">
        <f t="shared" si="22"/>
        <v>236.14</v>
      </c>
      <c r="Q98" s="280">
        <f t="shared" si="22"/>
        <v>235.2</v>
      </c>
      <c r="R98" s="280">
        <f t="shared" si="22"/>
        <v>227.7</v>
      </c>
      <c r="S98" s="280">
        <f t="shared" si="22"/>
        <v>220.29999999999998</v>
      </c>
      <c r="T98" s="280">
        <f t="shared" si="22"/>
        <v>230.5</v>
      </c>
      <c r="U98" s="280">
        <f t="shared" si="22"/>
        <v>186.00000000000003</v>
      </c>
      <c r="V98" s="280">
        <f t="shared" si="22"/>
        <v>190</v>
      </c>
      <c r="W98" s="280">
        <f t="shared" si="22"/>
        <v>355.7</v>
      </c>
      <c r="X98" s="280">
        <f t="shared" si="22"/>
        <v>361.80000000000007</v>
      </c>
      <c r="Y98" s="280">
        <f t="shared" si="22"/>
        <v>389</v>
      </c>
      <c r="Z98" s="280">
        <f t="shared" si="22"/>
        <v>264.70000000000005</v>
      </c>
      <c r="AA98" s="280">
        <f t="shared" si="22"/>
        <v>229.6</v>
      </c>
      <c r="AB98" s="280">
        <f t="shared" si="22"/>
        <v>197.9</v>
      </c>
      <c r="AC98" s="280">
        <f t="shared" si="22"/>
        <v>214.89999999999998</v>
      </c>
      <c r="AD98" s="280">
        <f t="shared" si="22"/>
        <v>170.9</v>
      </c>
      <c r="AE98" s="280">
        <f t="shared" si="22"/>
        <v>184.9</v>
      </c>
      <c r="AF98" s="280">
        <f t="shared" si="22"/>
        <v>82.9</v>
      </c>
      <c r="AG98" s="281"/>
      <c r="AH98" s="226">
        <f>MAX(C98:AF98)</f>
        <v>389</v>
      </c>
      <c r="AI98" s="227">
        <f>MIN(C98:AF98)</f>
        <v>9.0400000000000293</v>
      </c>
    </row>
    <row r="99" spans="1:37" x14ac:dyDescent="0.25">
      <c r="A99" s="268" t="s">
        <v>103</v>
      </c>
      <c r="B99" s="282">
        <v>15.6</v>
      </c>
      <c r="C99" s="282">
        <v>15</v>
      </c>
      <c r="D99" s="282">
        <v>20.2</v>
      </c>
      <c r="E99" s="282">
        <v>10.9</v>
      </c>
      <c r="F99" s="282">
        <v>7.7</v>
      </c>
      <c r="G99" s="282">
        <v>8</v>
      </c>
      <c r="H99" s="282">
        <v>12.4</v>
      </c>
      <c r="I99" s="282">
        <v>20.3</v>
      </c>
      <c r="J99" s="282">
        <v>18.5</v>
      </c>
      <c r="K99" s="282">
        <v>22.4</v>
      </c>
      <c r="L99" s="282">
        <v>22.4</v>
      </c>
      <c r="M99" s="282">
        <f>32.6+16.3</f>
        <v>48.900000000000006</v>
      </c>
      <c r="N99" s="282">
        <v>46</v>
      </c>
      <c r="O99" s="282">
        <v>82</v>
      </c>
      <c r="P99" s="282">
        <v>70</v>
      </c>
      <c r="Q99" s="282">
        <v>70</v>
      </c>
      <c r="R99" s="282">
        <v>68</v>
      </c>
      <c r="S99" s="282">
        <v>71</v>
      </c>
      <c r="T99" s="282">
        <v>74.599999999999994</v>
      </c>
      <c r="U99" s="282">
        <v>32.5</v>
      </c>
      <c r="V99" s="282">
        <v>34.5</v>
      </c>
      <c r="W99" s="282">
        <v>28.5</v>
      </c>
      <c r="X99" s="282">
        <v>33.299999999999997</v>
      </c>
      <c r="Y99" s="282">
        <v>30.1</v>
      </c>
      <c r="Z99" s="282">
        <v>15.7</v>
      </c>
      <c r="AA99" s="282">
        <v>19.5</v>
      </c>
      <c r="AB99" s="282">
        <f>42+28</f>
        <v>70</v>
      </c>
      <c r="AC99" s="282">
        <v>82</v>
      </c>
      <c r="AD99" s="282">
        <v>70</v>
      </c>
      <c r="AE99" s="282"/>
      <c r="AF99" s="282">
        <v>60</v>
      </c>
      <c r="AG99" s="283">
        <v>75</v>
      </c>
      <c r="AH99" s="226">
        <f t="shared" ref="AH99:AH106" si="23">IF(ABS(MAX(C99:AF99))&gt;ABS(MIN(C99:AF99)),MAX(C99:AF99),MIN(C99:AF99))</f>
        <v>82</v>
      </c>
      <c r="AI99" s="284">
        <f t="shared" ref="AI99:AI106" si="24">INDEX($C$9:$AF$9,1,MATCH(AH99,C99:AF99,0))</f>
        <v>0.41666666666666702</v>
      </c>
    </row>
    <row r="100" spans="1:37" x14ac:dyDescent="0.25">
      <c r="A100" s="271" t="s">
        <v>104</v>
      </c>
      <c r="B100" s="285">
        <v>-155.19999999999999</v>
      </c>
      <c r="C100" s="285">
        <v>-150</v>
      </c>
      <c r="D100" s="285">
        <v>-168</v>
      </c>
      <c r="E100" s="285">
        <v>-152.6</v>
      </c>
      <c r="F100" s="285">
        <v>-140</v>
      </c>
      <c r="G100" s="285">
        <v>-115</v>
      </c>
      <c r="H100" s="285">
        <v>-114</v>
      </c>
      <c r="I100" s="285">
        <v>-104</v>
      </c>
      <c r="J100" s="285">
        <v>-75</v>
      </c>
      <c r="K100" s="285">
        <v>-60</v>
      </c>
      <c r="L100" s="285">
        <v>-60</v>
      </c>
      <c r="M100" s="285">
        <v>-93</v>
      </c>
      <c r="N100" s="285">
        <v>-95</v>
      </c>
      <c r="O100" s="285">
        <v>-104</v>
      </c>
      <c r="P100" s="285">
        <v>-60</v>
      </c>
      <c r="Q100" s="285">
        <v>-60</v>
      </c>
      <c r="R100" s="285">
        <v>-74</v>
      </c>
      <c r="S100" s="285">
        <v>-73</v>
      </c>
      <c r="T100" s="285">
        <v>-104</v>
      </c>
      <c r="U100" s="285">
        <v>-103</v>
      </c>
      <c r="V100" s="285">
        <v>-99.6</v>
      </c>
      <c r="W100" s="285">
        <v>92</v>
      </c>
      <c r="X100" s="285">
        <v>95</v>
      </c>
      <c r="Y100" s="285">
        <v>95</v>
      </c>
      <c r="Z100" s="285">
        <v>-57.2</v>
      </c>
      <c r="AA100" s="285">
        <v>-75.099999999999994</v>
      </c>
      <c r="AB100" s="285">
        <f>-48-51</f>
        <v>-99</v>
      </c>
      <c r="AC100" s="285">
        <v>-92</v>
      </c>
      <c r="AD100" s="285">
        <v>-106</v>
      </c>
      <c r="AE100" s="285"/>
      <c r="AF100" s="285">
        <v>-144</v>
      </c>
      <c r="AG100" s="283">
        <v>240</v>
      </c>
      <c r="AH100" s="226">
        <f t="shared" si="23"/>
        <v>-168</v>
      </c>
      <c r="AI100" s="284">
        <f t="shared" si="24"/>
        <v>8.3333333333333301E-2</v>
      </c>
    </row>
    <row r="101" spans="1:37" x14ac:dyDescent="0.25">
      <c r="A101" s="271" t="s">
        <v>105</v>
      </c>
      <c r="B101" s="285">
        <v>10.6</v>
      </c>
      <c r="C101" s="285">
        <v>-9</v>
      </c>
      <c r="D101" s="285">
        <v>-9.6999999999999993</v>
      </c>
      <c r="E101" s="285">
        <v>-7.9</v>
      </c>
      <c r="F101" s="285">
        <v>-7.7</v>
      </c>
      <c r="G101" s="285">
        <v>-5.2</v>
      </c>
      <c r="H101" s="285">
        <v>-5.2</v>
      </c>
      <c r="I101" s="285">
        <v>-1</v>
      </c>
      <c r="J101" s="285">
        <v>4.9000000000000004</v>
      </c>
      <c r="K101" s="285">
        <v>7.9</v>
      </c>
      <c r="L101" s="285">
        <v>7.9</v>
      </c>
      <c r="M101" s="285">
        <v>12.6</v>
      </c>
      <c r="N101" s="285">
        <v>12.7</v>
      </c>
      <c r="O101" s="285">
        <v>8.8000000000000007</v>
      </c>
      <c r="P101" s="285">
        <v>14.7</v>
      </c>
      <c r="Q101" s="285">
        <v>14.7</v>
      </c>
      <c r="R101" s="285">
        <v>23.2</v>
      </c>
      <c r="S101" s="285">
        <v>11.6</v>
      </c>
      <c r="T101" s="285">
        <v>8.9</v>
      </c>
      <c r="U101" s="285">
        <v>11.8</v>
      </c>
      <c r="V101" s="285">
        <v>9.1999999999999993</v>
      </c>
      <c r="W101" s="285">
        <v>9.5</v>
      </c>
      <c r="X101" s="285">
        <v>8.6</v>
      </c>
      <c r="Y101" s="285">
        <v>8.6</v>
      </c>
      <c r="Z101" s="285">
        <v>29.9</v>
      </c>
      <c r="AA101" s="285">
        <v>24.7</v>
      </c>
      <c r="AB101" s="285">
        <v>6</v>
      </c>
      <c r="AC101" s="285">
        <v>6</v>
      </c>
      <c r="AD101" s="285">
        <v>22</v>
      </c>
      <c r="AE101" s="285"/>
      <c r="AF101" s="285">
        <v>-3</v>
      </c>
      <c r="AG101" s="283">
        <v>60</v>
      </c>
      <c r="AH101" s="226">
        <f t="shared" si="23"/>
        <v>29.9</v>
      </c>
      <c r="AI101" s="284">
        <f t="shared" si="24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61.8</v>
      </c>
      <c r="N102" s="287">
        <v>59.2</v>
      </c>
      <c r="O102" s="287">
        <v>41.6</v>
      </c>
      <c r="P102" s="287">
        <v>0</v>
      </c>
      <c r="Q102" s="287">
        <v>0</v>
      </c>
      <c r="R102" s="287">
        <v>0</v>
      </c>
      <c r="S102" s="287">
        <v>0</v>
      </c>
      <c r="T102" s="287">
        <v>40.4</v>
      </c>
      <c r="U102" s="287">
        <v>34.5</v>
      </c>
      <c r="V102" s="287">
        <v>35.700000000000003</v>
      </c>
      <c r="W102" s="287">
        <v>40.4</v>
      </c>
      <c r="X102" s="287">
        <v>39.6</v>
      </c>
      <c r="Y102" s="287">
        <v>60</v>
      </c>
      <c r="Z102" s="287">
        <v>81</v>
      </c>
      <c r="AA102" s="287">
        <v>65.599999999999994</v>
      </c>
      <c r="AB102" s="287">
        <v>46</v>
      </c>
      <c r="AC102" s="287">
        <v>44</v>
      </c>
      <c r="AD102" s="287">
        <v>0</v>
      </c>
      <c r="AE102" s="287"/>
      <c r="AF102" s="287">
        <v>0</v>
      </c>
      <c r="AG102" s="288">
        <v>120</v>
      </c>
      <c r="AH102" s="226">
        <f t="shared" si="23"/>
        <v>81</v>
      </c>
      <c r="AI102" s="284">
        <f t="shared" si="24"/>
        <v>0.79166666666666663</v>
      </c>
    </row>
    <row r="103" spans="1:37" x14ac:dyDescent="0.25">
      <c r="A103" s="286" t="s">
        <v>107</v>
      </c>
      <c r="B103" s="287">
        <v>41</v>
      </c>
      <c r="C103" s="287">
        <v>30.5</v>
      </c>
      <c r="D103" s="287">
        <v>18.5</v>
      </c>
      <c r="E103" s="287">
        <v>42.1</v>
      </c>
      <c r="F103" s="287">
        <v>49</v>
      </c>
      <c r="G103" s="287">
        <v>64</v>
      </c>
      <c r="H103" s="287">
        <v>54</v>
      </c>
      <c r="I103" s="287">
        <v>53</v>
      </c>
      <c r="J103" s="287">
        <v>69</v>
      </c>
      <c r="K103" s="287">
        <v>80</v>
      </c>
      <c r="L103" s="287">
        <v>80</v>
      </c>
      <c r="M103" s="287">
        <v>55.8</v>
      </c>
      <c r="N103" s="287">
        <v>56.8</v>
      </c>
      <c r="O103" s="287">
        <v>40.200000000000003</v>
      </c>
      <c r="P103" s="287">
        <v>79.8</v>
      </c>
      <c r="Q103" s="287">
        <v>79.8</v>
      </c>
      <c r="R103" s="287">
        <v>84.2</v>
      </c>
      <c r="S103" s="287">
        <v>71.3</v>
      </c>
      <c r="T103" s="287">
        <v>44.8</v>
      </c>
      <c r="U103" s="287">
        <v>38</v>
      </c>
      <c r="V103" s="287">
        <v>38.799999999999997</v>
      </c>
      <c r="W103" s="287">
        <v>37.200000000000003</v>
      </c>
      <c r="X103" s="287">
        <v>39.5</v>
      </c>
      <c r="Y103" s="287">
        <v>54</v>
      </c>
      <c r="Z103" s="287">
        <v>73</v>
      </c>
      <c r="AA103" s="287">
        <v>62.1</v>
      </c>
      <c r="AB103" s="287">
        <v>49</v>
      </c>
      <c r="AC103" s="287">
        <v>45</v>
      </c>
      <c r="AD103" s="287">
        <v>49</v>
      </c>
      <c r="AE103" s="287"/>
      <c r="AF103" s="287">
        <v>45</v>
      </c>
      <c r="AG103" s="288"/>
      <c r="AH103" s="226">
        <f t="shared" si="23"/>
        <v>84.2</v>
      </c>
      <c r="AI103" s="284">
        <f t="shared" si="24"/>
        <v>0.54166666666666696</v>
      </c>
    </row>
    <row r="104" spans="1:37" x14ac:dyDescent="0.25">
      <c r="A104" s="286" t="s">
        <v>108</v>
      </c>
      <c r="B104" s="287">
        <v>20.5</v>
      </c>
      <c r="C104" s="287">
        <v>20.5</v>
      </c>
      <c r="D104" s="287">
        <v>2.1</v>
      </c>
      <c r="E104" s="287">
        <v>27.1</v>
      </c>
      <c r="F104" s="287">
        <v>46</v>
      </c>
      <c r="G104" s="287">
        <v>64</v>
      </c>
      <c r="H104" s="287">
        <v>46</v>
      </c>
      <c r="I104" s="287">
        <v>20</v>
      </c>
      <c r="J104" s="287">
        <v>26</v>
      </c>
      <c r="K104" s="287">
        <v>29</v>
      </c>
      <c r="L104" s="287">
        <v>29</v>
      </c>
      <c r="M104" s="287">
        <v>50.6</v>
      </c>
      <c r="N104" s="287">
        <v>54.1</v>
      </c>
      <c r="O104" s="287">
        <v>-4.4000000000000004</v>
      </c>
      <c r="P104" s="287">
        <v>36.1</v>
      </c>
      <c r="Q104" s="287">
        <v>36.1</v>
      </c>
      <c r="R104" s="287">
        <v>23.6</v>
      </c>
      <c r="S104" s="287">
        <v>20.5</v>
      </c>
      <c r="T104" s="287">
        <v>0</v>
      </c>
      <c r="U104" s="287">
        <v>0</v>
      </c>
      <c r="V104" s="287">
        <v>0</v>
      </c>
      <c r="W104" s="287">
        <v>5.2</v>
      </c>
      <c r="X104" s="287">
        <v>-13</v>
      </c>
      <c r="Y104" s="287">
        <v>48.1</v>
      </c>
      <c r="Z104" s="287">
        <v>61.5</v>
      </c>
      <c r="AA104" s="287">
        <v>51.3</v>
      </c>
      <c r="AB104" s="287">
        <v>34</v>
      </c>
      <c r="AC104" s="287">
        <v>14</v>
      </c>
      <c r="AD104" s="287">
        <v>21</v>
      </c>
      <c r="AE104" s="287"/>
      <c r="AF104" s="287">
        <v>33</v>
      </c>
      <c r="AG104" s="289"/>
      <c r="AH104" s="226">
        <f t="shared" si="23"/>
        <v>64</v>
      </c>
      <c r="AI104" s="284">
        <f t="shared" si="24"/>
        <v>0.20833333333333301</v>
      </c>
    </row>
    <row r="105" spans="1:37" x14ac:dyDescent="0.25">
      <c r="A105" s="290" t="s">
        <v>109</v>
      </c>
      <c r="B105" s="274">
        <v>111.4</v>
      </c>
      <c r="C105" s="274">
        <v>111.1</v>
      </c>
      <c r="D105" s="274">
        <v>107.7</v>
      </c>
      <c r="E105" s="274">
        <v>109.8</v>
      </c>
      <c r="F105" s="274">
        <v>112</v>
      </c>
      <c r="G105" s="274">
        <v>116</v>
      </c>
      <c r="H105" s="274">
        <v>116</v>
      </c>
      <c r="I105" s="274">
        <v>100</v>
      </c>
      <c r="J105" s="274">
        <v>112</v>
      </c>
      <c r="K105" s="274">
        <v>112</v>
      </c>
      <c r="L105" s="274">
        <v>112</v>
      </c>
      <c r="M105" s="274">
        <v>107.1</v>
      </c>
      <c r="N105" s="274">
        <v>108.5</v>
      </c>
      <c r="O105" s="274">
        <v>116</v>
      </c>
      <c r="P105" s="274">
        <v>112.9</v>
      </c>
      <c r="Q105" s="274">
        <v>112.9</v>
      </c>
      <c r="R105" s="274">
        <v>113.6</v>
      </c>
      <c r="S105" s="274">
        <v>115.7</v>
      </c>
      <c r="T105" s="274">
        <v>108</v>
      </c>
      <c r="U105" s="274">
        <v>109.3</v>
      </c>
      <c r="V105" s="274">
        <v>107.2</v>
      </c>
      <c r="W105" s="274">
        <v>105.4</v>
      </c>
      <c r="X105" s="274">
        <v>102.8</v>
      </c>
      <c r="Y105" s="274">
        <v>102.8</v>
      </c>
      <c r="Z105" s="274">
        <v>94.5</v>
      </c>
      <c r="AA105" s="274">
        <v>96.1</v>
      </c>
      <c r="AB105" s="274">
        <v>0</v>
      </c>
      <c r="AC105" s="274">
        <v>0</v>
      </c>
      <c r="AD105" s="274">
        <v>24</v>
      </c>
      <c r="AE105" s="274"/>
      <c r="AF105" s="274">
        <v>70</v>
      </c>
      <c r="AG105" s="289"/>
      <c r="AH105" s="226">
        <f t="shared" si="23"/>
        <v>116</v>
      </c>
      <c r="AI105" s="284">
        <f t="shared" si="24"/>
        <v>0.20833333333333301</v>
      </c>
    </row>
    <row r="106" spans="1:37" ht="15.75" thickBot="1" x14ac:dyDescent="0.3">
      <c r="A106" s="290" t="s">
        <v>110</v>
      </c>
      <c r="B106" s="274">
        <v>103</v>
      </c>
      <c r="C106" s="274">
        <v>95</v>
      </c>
      <c r="D106" s="274">
        <v>102</v>
      </c>
      <c r="E106" s="274">
        <v>94.4</v>
      </c>
      <c r="F106" s="274">
        <v>89</v>
      </c>
      <c r="G106" s="274">
        <v>69</v>
      </c>
      <c r="H106" s="274">
        <v>74</v>
      </c>
      <c r="I106" s="274">
        <v>70</v>
      </c>
      <c r="J106" s="274">
        <v>50</v>
      </c>
      <c r="K106" s="274">
        <v>40</v>
      </c>
      <c r="L106" s="274">
        <v>40</v>
      </c>
      <c r="M106" s="274">
        <v>53.6</v>
      </c>
      <c r="N106" s="274">
        <v>54.6</v>
      </c>
      <c r="O106" s="274">
        <v>66.099999999999994</v>
      </c>
      <c r="P106" s="274">
        <v>35.6</v>
      </c>
      <c r="Q106" s="274">
        <v>35.6</v>
      </c>
      <c r="R106" s="274">
        <v>46.2</v>
      </c>
      <c r="S106" s="274">
        <v>45.5</v>
      </c>
      <c r="T106" s="274">
        <v>67.5</v>
      </c>
      <c r="U106" s="274">
        <v>66.5</v>
      </c>
      <c r="V106" s="274">
        <v>65.5</v>
      </c>
      <c r="W106" s="274">
        <v>57.7</v>
      </c>
      <c r="X106" s="274">
        <v>61.8</v>
      </c>
      <c r="Y106" s="274">
        <v>50</v>
      </c>
      <c r="Z106" s="274">
        <v>39.6</v>
      </c>
      <c r="AA106" s="274">
        <v>51.6</v>
      </c>
      <c r="AB106" s="274">
        <v>61</v>
      </c>
      <c r="AC106" s="274">
        <v>72</v>
      </c>
      <c r="AD106" s="274">
        <v>73</v>
      </c>
      <c r="AE106" s="274"/>
      <c r="AF106" s="274">
        <v>95</v>
      </c>
      <c r="AG106" s="289"/>
      <c r="AH106" s="226">
        <f t="shared" si="23"/>
        <v>102</v>
      </c>
      <c r="AI106" s="284">
        <f t="shared" si="24"/>
        <v>8.3333333333333301E-2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1803.3399999999997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21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2079/02/21)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2079/02/21)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1762.04</v>
      </c>
      <c r="U235" s="343">
        <f t="shared" si="31"/>
        <v>1761.9399999999998</v>
      </c>
      <c r="V235" s="343">
        <f t="shared" si="31"/>
        <v>1698.14</v>
      </c>
      <c r="W235" s="343">
        <f t="shared" si="31"/>
        <v>1685.4399999999998</v>
      </c>
      <c r="X235" s="343">
        <f t="shared" si="31"/>
        <v>1713.84</v>
      </c>
      <c r="Y235" s="343">
        <f t="shared" si="31"/>
        <v>1714.34</v>
      </c>
      <c r="Z235" s="343">
        <f t="shared" si="31"/>
        <v>1725.1399999999999</v>
      </c>
      <c r="AA235" s="343">
        <f t="shared" si="31"/>
        <v>1701.84</v>
      </c>
      <c r="AB235" s="343">
        <f t="shared" si="31"/>
        <v>1730.9399999999998</v>
      </c>
      <c r="AC235" s="343">
        <f t="shared" si="31"/>
        <v>1771.1399999999999</v>
      </c>
      <c r="AD235" s="343">
        <f t="shared" si="31"/>
        <v>1777.1399999999999</v>
      </c>
      <c r="AE235" s="343">
        <f t="shared" si="31"/>
        <v>1781.24</v>
      </c>
      <c r="AF235" s="343">
        <f t="shared" si="31"/>
        <v>1803.3399999999997</v>
      </c>
      <c r="AG235" s="343">
        <f t="shared" si="31"/>
        <v>1852.7399999999998</v>
      </c>
      <c r="AH235" s="343">
        <f t="shared" si="31"/>
        <v>1823.54</v>
      </c>
      <c r="AI235" s="343">
        <f t="shared" si="31"/>
        <v>1874.04</v>
      </c>
      <c r="AJ235" s="343">
        <f t="shared" si="31"/>
        <v>1861.2399999999998</v>
      </c>
      <c r="AK235" s="343">
        <f t="shared" si="31"/>
        <v>1858.34</v>
      </c>
      <c r="AL235" s="343">
        <f t="shared" si="31"/>
        <v>1874.24</v>
      </c>
      <c r="AM235" s="343">
        <f t="shared" si="31"/>
        <v>1875.3400000000001</v>
      </c>
      <c r="AN235" s="343">
        <f t="shared" si="31"/>
        <v>1825.04</v>
      </c>
      <c r="AO235" s="343">
        <f t="shared" si="31"/>
        <v>1819.8400000000001</v>
      </c>
      <c r="AP235" s="343">
        <f t="shared" si="31"/>
        <v>1820.14</v>
      </c>
      <c r="AQ235" s="343">
        <f t="shared" si="31"/>
        <v>1831.24</v>
      </c>
      <c r="AR235" s="343">
        <f t="shared" si="31"/>
        <v>1881.24</v>
      </c>
      <c r="AS235" s="343">
        <f t="shared" si="31"/>
        <v>1914.74</v>
      </c>
      <c r="AT235" s="343">
        <f t="shared" si="31"/>
        <v>1808.34</v>
      </c>
      <c r="AU235" s="343">
        <f t="shared" si="31"/>
        <v>1914.54</v>
      </c>
      <c r="AV235" s="343">
        <f t="shared" si="31"/>
        <v>1840.74</v>
      </c>
      <c r="AW235" s="343">
        <f t="shared" si="31"/>
        <v>1807.74</v>
      </c>
      <c r="AX235" s="343">
        <f t="shared" si="31"/>
        <v>1748.74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C99:K101 B9:AF10 D102:K105 L99:AF105 X11:AF11">
    <cfRule type="expression" dxfId="3513" priority="232">
      <formula>B$9&gt;=20/24</formula>
    </cfRule>
    <cfRule type="expression" dxfId="3512" priority="233">
      <formula>AND(B$9&gt;=14/24,B$9&lt;20/24)</formula>
    </cfRule>
    <cfRule type="expression" dxfId="3511" priority="234">
      <formula>AND(B$9&gt;=8/24,B$9&lt;14/24)</formula>
    </cfRule>
    <cfRule type="expression" dxfId="3510" priority="235">
      <formula>B$9&lt;8/24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509" priority="227">
      <formula>S$9&gt;=20/24</formula>
    </cfRule>
    <cfRule type="expression" dxfId="3508" priority="228">
      <formula>AND(S$9&gt;=14/24,S$9&lt;20/24)</formula>
    </cfRule>
    <cfRule type="expression" dxfId="3507" priority="229">
      <formula>AND(S$9&gt;=8/24,S$9&lt;14/24)</formula>
    </cfRule>
    <cfRule type="expression" dxfId="3506" priority="230">
      <formula>S$9&lt;8/24</formula>
    </cfRule>
  </conditionalFormatting>
  <conditionalFormatting sqref="AG55 D11 B12:D16 S37:AF37 E11:AF16 B35:AF35">
    <cfRule type="expression" dxfId="3505" priority="226">
      <formula>B11&gt;$AG11</formula>
    </cfRule>
  </conditionalFormatting>
  <conditionalFormatting sqref="A89:A102 A11:A14 A49:A76 A85:A87 A191:A221 A16:A30 A36:A47 A107:A178 A32:A33 A81:A83 A78:A79">
    <cfRule type="expression" dxfId="3504" priority="225">
      <formula>$AH11=0</formula>
    </cfRule>
  </conditionalFormatting>
  <conditionalFormatting sqref="A103">
    <cfRule type="expression" dxfId="3503" priority="224">
      <formula>$AH103=0</formula>
    </cfRule>
  </conditionalFormatting>
  <conditionalFormatting sqref="AL3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502" priority="222">
      <formula>$AH35=0</formula>
    </cfRule>
  </conditionalFormatting>
  <conditionalFormatting sqref="A88">
    <cfRule type="expression" dxfId="3501" priority="221">
      <formula>$AH88=0</formula>
    </cfRule>
  </conditionalFormatting>
  <conditionalFormatting sqref="A15">
    <cfRule type="expression" dxfId="3500" priority="220">
      <formula>$AH15=0</formula>
    </cfRule>
  </conditionalFormatting>
  <conditionalFormatting sqref="A185:A190">
    <cfRule type="expression" dxfId="3499" priority="219">
      <formula>$AH185=0</formula>
    </cfRule>
  </conditionalFormatting>
  <conditionalFormatting sqref="A179:A184">
    <cfRule type="expression" dxfId="3498" priority="218">
      <formula>$AH179=0</formula>
    </cfRule>
  </conditionalFormatting>
  <conditionalFormatting sqref="A48">
    <cfRule type="expression" dxfId="3497" priority="217">
      <formula>$AH48=0</formula>
    </cfRule>
  </conditionalFormatting>
  <conditionalFormatting sqref="A84">
    <cfRule type="expression" dxfId="3496" priority="216">
      <formula>$AH84=0</formula>
    </cfRule>
  </conditionalFormatting>
  <conditionalFormatting sqref="C89:AF89">
    <cfRule type="expression" dxfId="3495" priority="212">
      <formula>C$9&gt;=20/24</formula>
    </cfRule>
    <cfRule type="expression" dxfId="3494" priority="213">
      <formula>AND(C$9&gt;=14/24,C$9&lt;20/24)</formula>
    </cfRule>
    <cfRule type="expression" dxfId="3493" priority="214">
      <formula>AND(C$9&gt;=8/24,C$9&lt;14/24)</formula>
    </cfRule>
    <cfRule type="expression" dxfId="3492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91" priority="238">
      <formula>C$9&gt;=20/24</formula>
    </cfRule>
    <cfRule type="expression" dxfId="3490" priority="239">
      <formula>AND(C$9&gt;=14/24,C$9&lt;20/24)</formula>
    </cfRule>
    <cfRule type="expression" dxfId="3489" priority="240">
      <formula>AND(C$9&gt;=8/24,C$9&lt;14/24)</formula>
    </cfRule>
    <cfRule type="expression" dxfId="3488" priority="241">
      <formula>C$9&lt;8/24</formula>
    </cfRule>
  </conditionalFormatting>
  <conditionalFormatting sqref="A222">
    <cfRule type="expression" dxfId="3487" priority="242">
      <formula>$AH222=0</formula>
    </cfRule>
  </conditionalFormatting>
  <conditionalFormatting sqref="AG234">
    <cfRule type="expression" dxfId="3486" priority="243">
      <formula>B$9&gt;=20/24</formula>
    </cfRule>
    <cfRule type="expression" dxfId="3485" priority="244">
      <formula>AND(B$9&gt;=14/24,B$9&lt;20/24)</formula>
    </cfRule>
    <cfRule type="expression" dxfId="3484" priority="245">
      <formula>AND(B$9&gt;=8/24,B$9&lt;14/24)</formula>
    </cfRule>
    <cfRule type="expression" dxfId="3483" priority="246">
      <formula>B$9&lt;8/24</formula>
    </cfRule>
  </conditionalFormatting>
  <conditionalFormatting sqref="S8">
    <cfRule type="expression" dxfId="3482" priority="207">
      <formula>U$9&gt;=20/24</formula>
    </cfRule>
    <cfRule type="expression" dxfId="3481" priority="208">
      <formula>AND(U$9&gt;=14/24,U$9&lt;20/24)</formula>
    </cfRule>
    <cfRule type="expression" dxfId="3480" priority="209">
      <formula>AND(U$9&gt;=8/24,U$9&lt;14/24)</formula>
    </cfRule>
    <cfRule type="expression" dxfId="3479" priority="210">
      <formula>U$9&lt;8/24</formula>
    </cfRule>
  </conditionalFormatting>
  <conditionalFormatting sqref="AB8">
    <cfRule type="expression" dxfId="3478" priority="203">
      <formula>AD$9&gt;=20/24</formula>
    </cfRule>
    <cfRule type="expression" dxfId="3477" priority="204">
      <formula>AND(AD$9&gt;=14/24,AD$9&lt;20/24)</formula>
    </cfRule>
    <cfRule type="expression" dxfId="3476" priority="205">
      <formula>AND(AD$9&gt;=8/24,AD$9&lt;14/24)</formula>
    </cfRule>
    <cfRule type="expression" dxfId="3475" priority="206">
      <formula>AD$9&lt;8/24</formula>
    </cfRule>
  </conditionalFormatting>
  <conditionalFormatting sqref="AH234:AX234">
    <cfRule type="expression" dxfId="3474" priority="247">
      <formula>AG$9&gt;=20/24</formula>
    </cfRule>
    <cfRule type="expression" dxfId="3473" priority="248">
      <formula>AND(AG$9&gt;=14/24,AG$9&lt;20/24)</formula>
    </cfRule>
    <cfRule type="expression" dxfId="3472" priority="249">
      <formula>AND(AG$9&gt;=8/24,AG$9&lt;14/24)</formula>
    </cfRule>
    <cfRule type="expression" dxfId="3471" priority="250">
      <formula>AG$9&lt;8/24</formula>
    </cfRule>
  </conditionalFormatting>
  <conditionalFormatting sqref="T234">
    <cfRule type="expression" dxfId="3470" priority="251">
      <formula>AX$9&gt;=20/24</formula>
    </cfRule>
    <cfRule type="expression" dxfId="3469" priority="252">
      <formula>AND(AX$9&gt;=14/24,AX$9&lt;20/24)</formula>
    </cfRule>
    <cfRule type="expression" dxfId="3468" priority="253">
      <formula>AND(AX$9&gt;=8/24,AX$9&lt;14/24)</formula>
    </cfRule>
    <cfRule type="expression" dxfId="3467" priority="254">
      <formula>AX$9&lt;8/24</formula>
    </cfRule>
  </conditionalFormatting>
  <conditionalFormatting sqref="A104:A105">
    <cfRule type="expression" dxfId="3466" priority="202">
      <formula>$AH104=0</formula>
    </cfRule>
  </conditionalFormatting>
  <conditionalFormatting sqref="C61:AF61 E44:W45 X45:Z45 AA44:AF45">
    <cfRule type="expression" dxfId="3465" priority="198">
      <formula>C$9&gt;=20/24</formula>
    </cfRule>
    <cfRule type="expression" dxfId="3464" priority="199">
      <formula>AND(C$9&gt;=14/24,C$9&lt;20/24)</formula>
    </cfRule>
    <cfRule type="expression" dxfId="3463" priority="200">
      <formula>AND(C$9&gt;=8/24,C$9&lt;14/24)</formula>
    </cfRule>
    <cfRule type="expression" dxfId="3462" priority="201">
      <formula>C$9&lt;8/24</formula>
    </cfRule>
  </conditionalFormatting>
  <conditionalFormatting sqref="E43:W43 AA43:AF43">
    <cfRule type="expression" dxfId="3461" priority="194">
      <formula>E$9&gt;=20/24</formula>
    </cfRule>
    <cfRule type="expression" dxfId="3460" priority="195">
      <formula>AND(E$9&gt;=14/24,E$9&lt;20/24)</formula>
    </cfRule>
    <cfRule type="expression" dxfId="3459" priority="196">
      <formula>AND(E$9&gt;=8/24,E$9&lt;14/24)</formula>
    </cfRule>
    <cfRule type="expression" dxfId="3458" priority="197">
      <formula>E$9&lt;8/24</formula>
    </cfRule>
  </conditionalFormatting>
  <conditionalFormatting sqref="E43:W45 X45:Z45 AA43:AF45">
    <cfRule type="expression" dxfId="3457" priority="193">
      <formula>E43&gt;$AG43</formula>
    </cfRule>
  </conditionalFormatting>
  <conditionalFormatting sqref="C86:AF86 C62:K63 C76:AF76 F64:K67 C90:K91 M37:R37 D92:K96 E73:AF75 F71:M71 L62:M67 L90:AF96 N62:AF71 X12:AF14 J36:AF36 F57:AF59">
    <cfRule type="expression" dxfId="3456" priority="189">
      <formula>C$9&gt;=20/24</formula>
    </cfRule>
    <cfRule type="expression" dxfId="3455" priority="190">
      <formula>AND(C$9&gt;=14/24,C$9&lt;20/24)</formula>
    </cfRule>
    <cfRule type="expression" dxfId="3454" priority="191">
      <formula>AND(C$9&gt;=8/24,C$9&lt;14/24)</formula>
    </cfRule>
    <cfRule type="expression" dxfId="3453" priority="192">
      <formula>C$9&lt;8/24</formula>
    </cfRule>
  </conditionalFormatting>
  <conditionalFormatting sqref="C55:AF55 C37:R37 E46:H46 F47:H48 I46:T48 J36:AF36 F57:AF59">
    <cfRule type="expression" dxfId="3452" priority="184">
      <formula>C36&gt;$AG36</formula>
    </cfRule>
  </conditionalFormatting>
  <conditionalFormatting sqref="X15:AF15">
    <cfRule type="expression" dxfId="3451" priority="176">
      <formula>X$9&gt;=20/24</formula>
    </cfRule>
    <cfRule type="expression" dxfId="3450" priority="177">
      <formula>AND(X$9&gt;=14/24,X$9&lt;20/24)</formula>
    </cfRule>
    <cfRule type="expression" dxfId="3449" priority="178">
      <formula>AND(X$9&gt;=8/24,X$9&lt;14/24)</formula>
    </cfRule>
    <cfRule type="expression" dxfId="3448" priority="179">
      <formula>X$9&lt;8/24</formula>
    </cfRule>
  </conditionalFormatting>
  <conditionalFormatting sqref="W46:AF47">
    <cfRule type="expression" dxfId="3447" priority="163">
      <formula>W$9&gt;=20/24</formula>
    </cfRule>
    <cfRule type="expression" dxfId="3446" priority="164">
      <formula>AND(W$9&gt;=14/24,W$9&lt;20/24)</formula>
    </cfRule>
    <cfRule type="expression" dxfId="3445" priority="165">
      <formula>AND(W$9&gt;=8/24,W$9&lt;14/24)</formula>
    </cfRule>
    <cfRule type="expression" dxfId="3444" priority="166">
      <formula>W$9&lt;8/24</formula>
    </cfRule>
  </conditionalFormatting>
  <conditionalFormatting sqref="W46:AF47">
    <cfRule type="expression" dxfId="3443" priority="162">
      <formula>W46&gt;$AG46</formula>
    </cfRule>
  </conditionalFormatting>
  <conditionalFormatting sqref="U46:V54 W48:AF54">
    <cfRule type="expression" dxfId="3442" priority="158">
      <formula>U$9&gt;=20/24</formula>
    </cfRule>
    <cfRule type="expression" dxfId="3441" priority="159">
      <formula>AND(U$9&gt;=14/24,U$9&lt;20/24)</formula>
    </cfRule>
    <cfRule type="expression" dxfId="3440" priority="160">
      <formula>AND(U$9&gt;=8/24,U$9&lt;14/24)</formula>
    </cfRule>
    <cfRule type="expression" dxfId="3439" priority="161">
      <formula>U$9&lt;8/24</formula>
    </cfRule>
  </conditionalFormatting>
  <conditionalFormatting sqref="U46:V54 W48:AF54">
    <cfRule type="expression" dxfId="3438" priority="157">
      <formula>U46&gt;$AG46</formula>
    </cfRule>
  </conditionalFormatting>
  <conditionalFormatting sqref="D11:AF11">
    <cfRule type="expression" dxfId="3437" priority="149">
      <formula>D$9&gt;=20/24</formula>
    </cfRule>
    <cfRule type="expression" dxfId="3436" priority="150">
      <formula>AND(D$9&gt;=14/24,D$9&lt;20/24)</formula>
    </cfRule>
    <cfRule type="expression" dxfId="3435" priority="151">
      <formula>AND(D$9&gt;=8/24,D$9&lt;14/24)</formula>
    </cfRule>
    <cfRule type="expression" dxfId="3434" priority="152">
      <formula>D$9&lt;8/24</formula>
    </cfRule>
  </conditionalFormatting>
  <conditionalFormatting sqref="D44:D45">
    <cfRule type="expression" dxfId="3433" priority="127">
      <formula>D$9&gt;=20/24</formula>
    </cfRule>
    <cfRule type="expression" dxfId="3432" priority="128">
      <formula>AND(D$9&gt;=14/24,D$9&lt;20/24)</formula>
    </cfRule>
    <cfRule type="expression" dxfId="3431" priority="129">
      <formula>AND(D$9&gt;=8/24,D$9&lt;14/24)</formula>
    </cfRule>
    <cfRule type="expression" dxfId="3430" priority="130">
      <formula>D$9&lt;8/24</formula>
    </cfRule>
  </conditionalFormatting>
  <conditionalFormatting sqref="D43">
    <cfRule type="expression" dxfId="3429" priority="123">
      <formula>D$9&gt;=20/24</formula>
    </cfRule>
    <cfRule type="expression" dxfId="3428" priority="124">
      <formula>AND(D$9&gt;=14/24,D$9&lt;20/24)</formula>
    </cfRule>
    <cfRule type="expression" dxfId="3427" priority="125">
      <formula>AND(D$9&gt;=8/24,D$9&lt;14/24)</formula>
    </cfRule>
    <cfRule type="expression" dxfId="3426" priority="126">
      <formula>D$9&lt;8/24</formula>
    </cfRule>
  </conditionalFormatting>
  <conditionalFormatting sqref="D43:D45">
    <cfRule type="expression" dxfId="3425" priority="122">
      <formula>D43&gt;$AG43</formula>
    </cfRule>
  </conditionalFormatting>
  <conditionalFormatting sqref="F68:M70">
    <cfRule type="expression" dxfId="3424" priority="118">
      <formula>F$9&gt;=20/24</formula>
    </cfRule>
    <cfRule type="expression" dxfId="3423" priority="119">
      <formula>AND(F$9&gt;=14/24,F$9&lt;20/24)</formula>
    </cfRule>
    <cfRule type="expression" dxfId="3422" priority="120">
      <formula>AND(F$9&gt;=8/24,F$9&lt;14/24)</formula>
    </cfRule>
    <cfRule type="expression" dxfId="3421" priority="121">
      <formula>F$9&lt;8/24</formula>
    </cfRule>
  </conditionalFormatting>
  <conditionalFormatting sqref="D46:D47 E47">
    <cfRule type="expression" dxfId="3420" priority="117">
      <formula>D46&gt;$AG46</formula>
    </cfRule>
  </conditionalFormatting>
  <conditionalFormatting sqref="D48:E51 F49:T54">
    <cfRule type="expression" dxfId="3419" priority="113">
      <formula>D$9&gt;=20/24</formula>
    </cfRule>
    <cfRule type="expression" dxfId="3418" priority="114">
      <formula>AND(D$9&gt;=14/24,D$9&lt;20/24)</formula>
    </cfRule>
    <cfRule type="expression" dxfId="3417" priority="115">
      <formula>AND(D$9&gt;=8/24,D$9&lt;14/24)</formula>
    </cfRule>
    <cfRule type="expression" dxfId="3416" priority="116">
      <formula>D$9&lt;8/24</formula>
    </cfRule>
  </conditionalFormatting>
  <conditionalFormatting sqref="D48:E51 F49:T54">
    <cfRule type="expression" dxfId="3415" priority="112">
      <formula>D48&gt;$AG48</formula>
    </cfRule>
  </conditionalFormatting>
  <conditionalFormatting sqref="X44:Z44">
    <cfRule type="expression" dxfId="3414" priority="108">
      <formula>X$9&gt;=20/24</formula>
    </cfRule>
    <cfRule type="expression" dxfId="3413" priority="109">
      <formula>AND(X$9&gt;=14/24,X$9&lt;20/24)</formula>
    </cfRule>
    <cfRule type="expression" dxfId="3412" priority="110">
      <formula>AND(X$9&gt;=8/24,X$9&lt;14/24)</formula>
    </cfRule>
    <cfRule type="expression" dxfId="3411" priority="111">
      <formula>X$9&lt;8/24</formula>
    </cfRule>
  </conditionalFormatting>
  <conditionalFormatting sqref="X43:Z43">
    <cfRule type="expression" dxfId="3410" priority="104">
      <formula>X$9&gt;=20/24</formula>
    </cfRule>
    <cfRule type="expression" dxfId="3409" priority="105">
      <formula>AND(X$9&gt;=14/24,X$9&lt;20/24)</formula>
    </cfRule>
    <cfRule type="expression" dxfId="3408" priority="106">
      <formula>AND(X$9&gt;=8/24,X$9&lt;14/24)</formula>
    </cfRule>
    <cfRule type="expression" dxfId="3407" priority="107">
      <formula>X$9&lt;8/24</formula>
    </cfRule>
  </conditionalFormatting>
  <conditionalFormatting sqref="X43:Z44">
    <cfRule type="expression" dxfId="3406" priority="103">
      <formula>X43&gt;$AG43</formula>
    </cfRule>
  </conditionalFormatting>
  <conditionalFormatting sqref="B99:B105 B78:AF78 B87:AF87 B11:C11 C102:C105">
    <cfRule type="expression" dxfId="3405" priority="99">
      <formula>B$9&gt;=20/24</formula>
    </cfRule>
    <cfRule type="expression" dxfId="3404" priority="100">
      <formula>AND(B$9&gt;=14/24,B$9&lt;20/24)</formula>
    </cfRule>
    <cfRule type="expression" dxfId="3403" priority="101">
      <formula>AND(B$9&gt;=8/24,B$9&lt;14/24)</formula>
    </cfRule>
    <cfRule type="expression" dxfId="3402" priority="102">
      <formula>B$9&lt;8/24</formula>
    </cfRule>
  </conditionalFormatting>
  <conditionalFormatting sqref="B37">
    <cfRule type="expression" dxfId="3401" priority="95">
      <formula>B$9&gt;=20/24</formula>
    </cfRule>
    <cfRule type="expression" dxfId="3400" priority="96">
      <formula>AND(B$9&gt;=14/24,B$9&lt;20/24)</formula>
    </cfRule>
    <cfRule type="expression" dxfId="3399" priority="97">
      <formula>AND(B$9&gt;=8/24,B$9&lt;14/24)</formula>
    </cfRule>
    <cfRule type="expression" dxfId="3398" priority="98">
      <formula>B$9&lt;8/24</formula>
    </cfRule>
  </conditionalFormatting>
  <conditionalFormatting sqref="B37 B11:C11">
    <cfRule type="expression" dxfId="3397" priority="94">
      <formula>B11&gt;$AG11</formula>
    </cfRule>
  </conditionalFormatting>
  <conditionalFormatting sqref="B89">
    <cfRule type="expression" dxfId="3396" priority="90">
      <formula>B$9&gt;=20/24</formula>
    </cfRule>
    <cfRule type="expression" dxfId="3395" priority="91">
      <formula>AND(B$9&gt;=14/24,B$9&lt;20/24)</formula>
    </cfRule>
    <cfRule type="expression" dxfId="3394" priority="92">
      <formula>AND(B$9&gt;=8/24,B$9&lt;14/24)</formula>
    </cfRule>
    <cfRule type="expression" dxfId="3393" priority="93">
      <formula>B$9&lt;8/24</formula>
    </cfRule>
  </conditionalFormatting>
  <conditionalFormatting sqref="B61 B44:C45 B36:I36">
    <cfRule type="expression" dxfId="3392" priority="86">
      <formula>B$9&gt;=20/24</formula>
    </cfRule>
    <cfRule type="expression" dxfId="3391" priority="87">
      <formula>AND(B$9&gt;=14/24,B$9&lt;20/24)</formula>
    </cfRule>
    <cfRule type="expression" dxfId="3390" priority="88">
      <formula>AND(B$9&gt;=8/24,B$9&lt;14/24)</formula>
    </cfRule>
    <cfRule type="expression" dxfId="3389" priority="89">
      <formula>B$9&lt;8/24</formula>
    </cfRule>
  </conditionalFormatting>
  <conditionalFormatting sqref="B43:C43">
    <cfRule type="expression" dxfId="3388" priority="82">
      <formula>B$9&gt;=20/24</formula>
    </cfRule>
    <cfRule type="expression" dxfId="3387" priority="83">
      <formula>AND(B$9&gt;=14/24,B$9&lt;20/24)</formula>
    </cfRule>
    <cfRule type="expression" dxfId="3386" priority="84">
      <formula>AND(B$9&gt;=8/24,B$9&lt;14/24)</formula>
    </cfRule>
    <cfRule type="expression" dxfId="3385" priority="85">
      <formula>B$9&lt;8/24</formula>
    </cfRule>
  </conditionalFormatting>
  <conditionalFormatting sqref="B43:C45 B36:I36">
    <cfRule type="expression" dxfId="3384" priority="81">
      <formula>B36&gt;$AG36</formula>
    </cfRule>
  </conditionalFormatting>
  <conditionalFormatting sqref="B90:B96 B57:B60 B62:B71 B73:B77 B79:AF79 B86 C60:AG60 C77:AG77 B88:AF88 C73:D75 C92:C96 C57:E59 C64:E71 B12:W14 X12:AF13 B16:AF16 B18:AF22 B24:AF26 B28:AF32">
    <cfRule type="expression" dxfId="3383" priority="77">
      <formula>B$9&gt;=20/24</formula>
    </cfRule>
    <cfRule type="expression" dxfId="3382" priority="78">
      <formula>AND(B$9&gt;=14/24,B$9&lt;20/24)</formula>
    </cfRule>
    <cfRule type="expression" dxfId="3381" priority="79">
      <formula>AND(B$9&gt;=8/24,B$9&lt;14/24)</formula>
    </cfRule>
    <cfRule type="expression" dxfId="3380" priority="80">
      <formula>B$9&lt;8/24</formula>
    </cfRule>
  </conditionalFormatting>
  <conditionalFormatting sqref="B33:AF33">
    <cfRule type="expression" dxfId="3379" priority="73">
      <formula>B$9&gt;=20/24</formula>
    </cfRule>
    <cfRule type="expression" dxfId="3378" priority="74">
      <formula>AND(B$9&gt;=14/24,B$9&lt;20/24)</formula>
    </cfRule>
    <cfRule type="expression" dxfId="3377" priority="75">
      <formula>AND(B$9&gt;=8/24,B$9&lt;14/24)</formula>
    </cfRule>
    <cfRule type="expression" dxfId="3376" priority="76">
      <formula>B$9&lt;8/24</formula>
    </cfRule>
  </conditionalFormatting>
  <conditionalFormatting sqref="B55:B60 B38:AG38 C56:AG56 C60:AG60 B46:C47 C57:E59 B18:AF22 B24:AF33">
    <cfRule type="expression" dxfId="3375" priority="72">
      <formula>B18&gt;$AG18</formula>
    </cfRule>
  </conditionalFormatting>
  <conditionalFormatting sqref="B35:AF35">
    <cfRule type="expression" dxfId="3374" priority="68">
      <formula>B$9&gt;=20/24</formula>
    </cfRule>
    <cfRule type="expression" dxfId="3373" priority="69">
      <formula>AND(B$9&gt;=14/24,B$9&lt;20/24)</formula>
    </cfRule>
    <cfRule type="expression" dxfId="3372" priority="70">
      <formula>AND(B$9&gt;=8/24,B$9&lt;14/24)</formula>
    </cfRule>
    <cfRule type="expression" dxfId="3371" priority="71">
      <formula>B$9&lt;8/24</formula>
    </cfRule>
  </conditionalFormatting>
  <conditionalFormatting sqref="B15:W15">
    <cfRule type="expression" dxfId="3370" priority="64">
      <formula>B$9&gt;=20/24</formula>
    </cfRule>
    <cfRule type="expression" dxfId="3369" priority="65">
      <formula>AND(B$9&gt;=14/24,B$9&lt;20/24)</formula>
    </cfRule>
    <cfRule type="expression" dxfId="3368" priority="66">
      <formula>AND(B$9&gt;=8/24,B$9&lt;14/24)</formula>
    </cfRule>
    <cfRule type="expression" dxfId="3367" priority="67">
      <formula>B$9&lt;8/24</formula>
    </cfRule>
  </conditionalFormatting>
  <conditionalFormatting sqref="B34:AF34">
    <cfRule type="expression" dxfId="3366" priority="60">
      <formula>B$9&gt;=20/24</formula>
    </cfRule>
    <cfRule type="expression" dxfId="3365" priority="61">
      <formula>AND(B$9&gt;=14/24,B$9&lt;20/24)</formula>
    </cfRule>
    <cfRule type="expression" dxfId="3364" priority="62">
      <formula>AND(B$9&gt;=8/24,B$9&lt;14/24)</formula>
    </cfRule>
    <cfRule type="expression" dxfId="3363" priority="63">
      <formula>B$9&lt;8/24</formula>
    </cfRule>
  </conditionalFormatting>
  <conditionalFormatting sqref="B34:AF34">
    <cfRule type="expression" dxfId="3362" priority="59">
      <formula>B34&gt;$AG34</formula>
    </cfRule>
  </conditionalFormatting>
  <conditionalFormatting sqref="B48:C54 D52:E54">
    <cfRule type="expression" dxfId="3361" priority="55">
      <formula>B$9&gt;=20/24</formula>
    </cfRule>
    <cfRule type="expression" dxfId="3360" priority="56">
      <formula>AND(B$9&gt;=14/24,B$9&lt;20/24)</formula>
    </cfRule>
    <cfRule type="expression" dxfId="3359" priority="57">
      <formula>AND(B$9&gt;=8/24,B$9&lt;14/24)</formula>
    </cfRule>
    <cfRule type="expression" dxfId="3358" priority="58">
      <formula>B$9&lt;8/24</formula>
    </cfRule>
  </conditionalFormatting>
  <conditionalFormatting sqref="B48:C54 D52:E54">
    <cfRule type="expression" dxfId="3357" priority="54">
      <formula>B48&gt;$AG48</formula>
    </cfRule>
  </conditionalFormatting>
  <conditionalFormatting sqref="B27:AF27">
    <cfRule type="expression" dxfId="3356" priority="50">
      <formula>B$9&gt;=20/24</formula>
    </cfRule>
    <cfRule type="expression" dxfId="3355" priority="51">
      <formula>AND(B$9&gt;=14/24,B$9&lt;20/24)</formula>
    </cfRule>
    <cfRule type="expression" dxfId="3354" priority="52">
      <formula>AND(B$9&gt;=8/24,B$9&lt;14/24)</formula>
    </cfRule>
    <cfRule type="expression" dxfId="3353" priority="53">
      <formula>B$9&lt;8/24</formula>
    </cfRule>
  </conditionalFormatting>
  <conditionalFormatting sqref="B23:AF23 B17:AF17">
    <cfRule type="expression" dxfId="3352" priority="46">
      <formula>B$9&gt;=20/24</formula>
    </cfRule>
    <cfRule type="expression" dxfId="3351" priority="47">
      <formula>AND(B$9&gt;=14/24,B$9&lt;20/24)</formula>
    </cfRule>
    <cfRule type="expression" dxfId="3350" priority="48">
      <formula>AND(B$9&gt;=8/24,B$9&lt;14/24)</formula>
    </cfRule>
    <cfRule type="expression" dxfId="3349" priority="49">
      <formula>B$9&lt;8/24</formula>
    </cfRule>
  </conditionalFormatting>
  <conditionalFormatting sqref="B23:AF23 B17:AF17">
    <cfRule type="expression" dxfId="3348" priority="45">
      <formula>B17&gt;$AG17</formula>
    </cfRule>
  </conditionalFormatting>
  <conditionalFormatting sqref="A34">
    <cfRule type="expression" dxfId="3347" priority="44">
      <formula>$AH34=0</formula>
    </cfRule>
  </conditionalFormatting>
  <conditionalFormatting sqref="B72:AF72">
    <cfRule type="expression" dxfId="3346" priority="40">
      <formula>B$9&gt;=20/24</formula>
    </cfRule>
    <cfRule type="expression" dxfId="3345" priority="41">
      <formula>AND(B$9&gt;=14/24,B$9&lt;20/24)</formula>
    </cfRule>
    <cfRule type="expression" dxfId="3344" priority="42">
      <formula>AND(B$9&gt;=8/24,B$9&lt;14/24)</formula>
    </cfRule>
    <cfRule type="expression" dxfId="3343" priority="43">
      <formula>B$9&lt;8/24</formula>
    </cfRule>
  </conditionalFormatting>
  <conditionalFormatting sqref="B81:AF85">
    <cfRule type="expression" dxfId="3342" priority="36">
      <formula>B$9&gt;=20/24</formula>
    </cfRule>
    <cfRule type="expression" dxfId="3341" priority="37">
      <formula>AND(B$9&gt;=14/24,B$9&lt;20/24)</formula>
    </cfRule>
    <cfRule type="expression" dxfId="3340" priority="38">
      <formula>AND(B$9&gt;=8/24,B$9&lt;14/24)</formula>
    </cfRule>
    <cfRule type="expression" dxfId="3339" priority="39">
      <formula>B$9&lt;8/24</formula>
    </cfRule>
  </conditionalFormatting>
  <conditionalFormatting sqref="AL35 AL7:AL30 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F39:AF41">
    <cfRule type="expression" dxfId="3338" priority="32">
      <formula>F$9&gt;=20/24</formula>
    </cfRule>
    <cfRule type="expression" dxfId="3337" priority="33">
      <formula>AND(F$9&gt;=14/24,F$9&lt;20/24)</formula>
    </cfRule>
    <cfRule type="expression" dxfId="3336" priority="34">
      <formula>AND(F$9&gt;=8/24,F$9&lt;14/24)</formula>
    </cfRule>
    <cfRule type="expression" dxfId="3335" priority="35">
      <formula>F$9&lt;8/24</formula>
    </cfRule>
  </conditionalFormatting>
  <conditionalFormatting sqref="F39:AF41">
    <cfRule type="expression" dxfId="3334" priority="31">
      <formula>F39&gt;$AG39</formula>
    </cfRule>
  </conditionalFormatting>
  <conditionalFormatting sqref="B39:B42 C42:AG42 C39:E41">
    <cfRule type="expression" dxfId="3333" priority="27">
      <formula>B$9&gt;=20/24</formula>
    </cfRule>
    <cfRule type="expression" dxfId="3332" priority="28">
      <formula>AND(B$9&gt;=14/24,B$9&lt;20/24)</formula>
    </cfRule>
    <cfRule type="expression" dxfId="3331" priority="29">
      <formula>AND(B$9&gt;=8/24,B$9&lt;14/24)</formula>
    </cfRule>
    <cfRule type="expression" dxfId="3330" priority="30">
      <formula>B$9&lt;8/24</formula>
    </cfRule>
  </conditionalFormatting>
  <conditionalFormatting sqref="B39:B42 C42:AG42 C39:E41">
    <cfRule type="expression" dxfId="3329" priority="26">
      <formula>B39&gt;$AG39</formula>
    </cfRule>
  </conditionalFormatting>
  <conditionalFormatting sqref="C97:AF97">
    <cfRule type="expression" dxfId="3328" priority="22">
      <formula>C$9&gt;=20/24</formula>
    </cfRule>
    <cfRule type="expression" dxfId="3327" priority="23">
      <formula>AND(C$9&gt;=14/24,C$9&lt;20/24)</formula>
    </cfRule>
    <cfRule type="expression" dxfId="3326" priority="24">
      <formula>AND(C$9&gt;=8/24,C$9&lt;14/24)</formula>
    </cfRule>
    <cfRule type="expression" dxfId="3325" priority="25">
      <formula>C$9&lt;8/24</formula>
    </cfRule>
  </conditionalFormatting>
  <conditionalFormatting sqref="B97">
    <cfRule type="expression" dxfId="3324" priority="18">
      <formula>B$9&gt;=20/24</formula>
    </cfRule>
    <cfRule type="expression" dxfId="3323" priority="19">
      <formula>AND(B$9&gt;=14/24,B$9&lt;20/24)</formula>
    </cfRule>
    <cfRule type="expression" dxfId="3322" priority="20">
      <formula>AND(B$9&gt;=8/24,B$9&lt;14/24)</formula>
    </cfRule>
    <cfRule type="expression" dxfId="3321" priority="21">
      <formula>B$9&lt;8/24</formula>
    </cfRule>
  </conditionalFormatting>
  <conditionalFormatting sqref="AL31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320" priority="12">
      <formula>$AH31=0</formula>
    </cfRule>
  </conditionalFormatting>
  <conditionalFormatting sqref="A80">
    <cfRule type="expression" dxfId="3319" priority="10">
      <formula>$AH80=0</formula>
    </cfRule>
  </conditionalFormatting>
  <conditionalFormatting sqref="A77">
    <cfRule type="expression" dxfId="3318" priority="11">
      <formula>$AH77=0</formula>
    </cfRule>
  </conditionalFormatting>
  <conditionalFormatting sqref="A106">
    <cfRule type="expression" dxfId="3317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87069528-A0DC-4B8F-8863-03E8DEA2323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90BCDBD2-E3D2-422C-9853-7B7D8E9A827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75573C52-A5A0-4C0B-A5D6-57D2E8C6E7C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7BA80800-F3FE-488F-8AF3-EE08EDF6E56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33A619A3-CA3B-4C77-8AC7-476FDD72206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F2523E66-5482-40E3-B579-8B37C31ACFF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D1FBE0FB-60F1-4AE0-BB15-7B353D36B16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DC31AA02-6CCE-42B3-A557-5FE91877E45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D106:AF106</xm:sqref>
        </x14:conditionalFormatting>
        <x14:conditionalFormatting xmlns:xm="http://schemas.microsoft.com/office/excel/2006/main">
          <x14:cfRule type="expression" priority="2" id="{D2CB5202-2A2A-4ED2-93CE-3855DCA0035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FFB58371-55CE-4510-878C-ADB4ADEC035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3A7F58A4-95D2-4B78-9A57-4E6B006AB5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925E6474-3507-4C6C-87CB-EBCD95F15B5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B106:C106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CJ493"/>
  <sheetViews>
    <sheetView zoomScale="90" zoomScaleNormal="90" workbookViewId="0">
      <pane xSplit="1" ySplit="10" topLeftCell="B71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2079/02/22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8</v>
      </c>
      <c r="C5" s="205">
        <f t="shared" si="0"/>
        <v>5</v>
      </c>
      <c r="D5" s="205">
        <f t="shared" si="0"/>
        <v>5</v>
      </c>
      <c r="E5" s="205">
        <f t="shared" si="0"/>
        <v>5</v>
      </c>
      <c r="F5" s="205">
        <f t="shared" si="0"/>
        <v>5</v>
      </c>
      <c r="G5" s="205">
        <f t="shared" si="0"/>
        <v>5</v>
      </c>
      <c r="H5" s="205">
        <f t="shared" si="0"/>
        <v>5</v>
      </c>
      <c r="I5" s="205">
        <f t="shared" si="0"/>
        <v>5</v>
      </c>
      <c r="J5" s="205">
        <f t="shared" si="0"/>
        <v>5</v>
      </c>
      <c r="K5" s="205">
        <f t="shared" si="0"/>
        <v>5</v>
      </c>
      <c r="L5" s="205">
        <f t="shared" si="0"/>
        <v>5</v>
      </c>
      <c r="M5" s="205">
        <f t="shared" si="0"/>
        <v>9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20</v>
      </c>
      <c r="R5" s="205">
        <f t="shared" si="0"/>
        <v>33</v>
      </c>
      <c r="S5" s="205">
        <f t="shared" si="0"/>
        <v>32</v>
      </c>
      <c r="T5" s="205">
        <f t="shared" si="0"/>
        <v>33</v>
      </c>
      <c r="U5" s="205">
        <f t="shared" si="0"/>
        <v>23.5</v>
      </c>
      <c r="V5" s="205">
        <f t="shared" si="0"/>
        <v>21.4</v>
      </c>
      <c r="W5" s="205">
        <f t="shared" si="0"/>
        <v>24.1</v>
      </c>
      <c r="X5" s="205">
        <f t="shared" si="0"/>
        <v>23.2</v>
      </c>
      <c r="Y5" s="205">
        <f t="shared" si="0"/>
        <v>37.6</v>
      </c>
      <c r="Z5" s="205">
        <f t="shared" si="0"/>
        <v>42.5</v>
      </c>
      <c r="AA5" s="205">
        <f t="shared" si="0"/>
        <v>50.3</v>
      </c>
      <c r="AB5" s="205">
        <f t="shared" si="0"/>
        <v>52.1</v>
      </c>
      <c r="AC5" s="205">
        <f t="shared" si="0"/>
        <v>53.3</v>
      </c>
      <c r="AD5" s="205">
        <f t="shared" si="0"/>
        <v>50.7</v>
      </c>
      <c r="AE5" s="205">
        <f t="shared" si="0"/>
        <v>5</v>
      </c>
      <c r="AF5" s="205">
        <f>B72</f>
        <v>8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1797MW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Load=1613</v>
      </c>
      <c r="B7" s="210">
        <f>B79</f>
        <v>1613.24</v>
      </c>
      <c r="C7" s="210">
        <f t="shared" ref="C7:AF7" si="1">C79</f>
        <v>1659.24</v>
      </c>
      <c r="D7" s="210">
        <f t="shared" si="1"/>
        <v>1732.24</v>
      </c>
      <c r="E7" s="210">
        <f t="shared" si="1"/>
        <v>1732.24</v>
      </c>
      <c r="F7" s="210">
        <f t="shared" si="1"/>
        <v>1660.84</v>
      </c>
      <c r="G7" s="210">
        <f t="shared" si="1"/>
        <v>1734.84</v>
      </c>
      <c r="H7" s="210">
        <f t="shared" si="1"/>
        <v>1620.54</v>
      </c>
      <c r="I7" s="210">
        <f t="shared" si="1"/>
        <v>1618.54</v>
      </c>
      <c r="J7" s="210">
        <f t="shared" si="1"/>
        <v>1666.34</v>
      </c>
      <c r="K7" s="210">
        <f t="shared" si="1"/>
        <v>1721.04</v>
      </c>
      <c r="L7" s="210">
        <f t="shared" si="1"/>
        <v>1767.84</v>
      </c>
      <c r="M7" s="210">
        <f t="shared" si="1"/>
        <v>1797.2399999999998</v>
      </c>
      <c r="N7" s="210">
        <f t="shared" si="1"/>
        <v>1773.54</v>
      </c>
      <c r="O7" s="210">
        <f t="shared" si="1"/>
        <v>1752.8400000000001</v>
      </c>
      <c r="P7" s="210">
        <f t="shared" si="1"/>
        <v>1799.0400000000002</v>
      </c>
      <c r="Q7" s="210">
        <f t="shared" si="1"/>
        <v>1804.4399999999998</v>
      </c>
      <c r="R7" s="210">
        <f t="shared" si="1"/>
        <v>1827.44</v>
      </c>
      <c r="S7" s="210">
        <f t="shared" si="1"/>
        <v>1824.6399999999999</v>
      </c>
      <c r="T7" s="210">
        <f t="shared" si="1"/>
        <v>1823.6399999999999</v>
      </c>
      <c r="U7" s="210">
        <f t="shared" si="1"/>
        <v>1829.84</v>
      </c>
      <c r="V7" s="210">
        <f t="shared" si="1"/>
        <v>1815.54</v>
      </c>
      <c r="W7" s="210">
        <f t="shared" si="1"/>
        <v>1800.3400000000001</v>
      </c>
      <c r="X7" s="210">
        <f t="shared" si="1"/>
        <v>1798.04</v>
      </c>
      <c r="Y7" s="210">
        <f t="shared" si="1"/>
        <v>1839.14</v>
      </c>
      <c r="Z7" s="210">
        <f t="shared" si="1"/>
        <v>1903.74</v>
      </c>
      <c r="AA7" s="210">
        <f t="shared" si="1"/>
        <v>1908.64</v>
      </c>
      <c r="AB7" s="210">
        <f t="shared" si="1"/>
        <v>1912.24</v>
      </c>
      <c r="AC7" s="210">
        <f t="shared" si="1"/>
        <v>1920.24</v>
      </c>
      <c r="AD7" s="210">
        <f t="shared" si="1"/>
        <v>1921.34</v>
      </c>
      <c r="AE7" s="210">
        <f t="shared" si="1"/>
        <v>1848.3400000000001</v>
      </c>
      <c r="AF7" s="210">
        <f t="shared" si="1"/>
        <v>1763.1399999999999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53.1</v>
      </c>
      <c r="C11" s="221">
        <v>53.1</v>
      </c>
      <c r="D11" s="221">
        <v>53.1</v>
      </c>
      <c r="E11" s="221">
        <v>53.1</v>
      </c>
      <c r="F11" s="221">
        <v>53.1</v>
      </c>
      <c r="G11" s="221">
        <v>53.1</v>
      </c>
      <c r="H11" s="221">
        <v>53.1</v>
      </c>
      <c r="I11" s="221">
        <v>53.1</v>
      </c>
      <c r="J11" s="221">
        <v>53.1</v>
      </c>
      <c r="K11" s="221">
        <v>53.1</v>
      </c>
      <c r="L11" s="221">
        <v>53.1</v>
      </c>
      <c r="M11" s="221">
        <v>53.1</v>
      </c>
      <c r="N11" s="221">
        <v>53.1</v>
      </c>
      <c r="O11" s="221">
        <v>53.1</v>
      </c>
      <c r="P11" s="221">
        <v>53.1</v>
      </c>
      <c r="Q11" s="221">
        <v>53.1</v>
      </c>
      <c r="R11" s="221">
        <v>53.1</v>
      </c>
      <c r="S11" s="221">
        <v>53.1</v>
      </c>
      <c r="T11" s="221">
        <v>53.1</v>
      </c>
      <c r="U11" s="221">
        <v>53.1</v>
      </c>
      <c r="V11" s="221">
        <v>53.1</v>
      </c>
      <c r="W11" s="221">
        <v>53.1</v>
      </c>
      <c r="X11" s="221">
        <v>53.1</v>
      </c>
      <c r="Y11" s="221">
        <v>53.1</v>
      </c>
      <c r="Z11" s="221">
        <v>53.1</v>
      </c>
      <c r="AA11" s="224">
        <v>53.1</v>
      </c>
      <c r="AB11" s="224">
        <v>53.1</v>
      </c>
      <c r="AC11" s="224">
        <v>53.1</v>
      </c>
      <c r="AD11" s="224">
        <v>53.1</v>
      </c>
      <c r="AE11" s="224">
        <v>53</v>
      </c>
      <c r="AF11" s="224">
        <v>53.2</v>
      </c>
      <c r="AG11" s="225">
        <v>52.4</v>
      </c>
      <c r="AH11" s="226">
        <f>MAX(B11:AF11)</f>
        <v>53.2</v>
      </c>
      <c r="AI11" s="227">
        <f>MIN(B11:AF11)</f>
        <v>53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50.6</v>
      </c>
      <c r="C12" s="221">
        <v>50.6</v>
      </c>
      <c r="D12" s="221">
        <v>50.6</v>
      </c>
      <c r="E12" s="221">
        <v>50.6</v>
      </c>
      <c r="F12" s="221">
        <v>50.6</v>
      </c>
      <c r="G12" s="221">
        <v>50.6</v>
      </c>
      <c r="H12" s="221">
        <v>50.6</v>
      </c>
      <c r="I12" s="221">
        <v>50.6</v>
      </c>
      <c r="J12" s="221">
        <v>50.6</v>
      </c>
      <c r="K12" s="221">
        <v>50.6</v>
      </c>
      <c r="L12" s="221">
        <v>50.6</v>
      </c>
      <c r="M12" s="221">
        <v>50.5</v>
      </c>
      <c r="N12" s="221">
        <v>50.5</v>
      </c>
      <c r="O12" s="221">
        <v>50.5</v>
      </c>
      <c r="P12" s="221">
        <v>50.6</v>
      </c>
      <c r="Q12" s="221">
        <v>50.5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50.5</v>
      </c>
      <c r="AB12" s="221">
        <v>50.4</v>
      </c>
      <c r="AC12" s="221">
        <v>50.4</v>
      </c>
      <c r="AD12" s="221">
        <v>50.2</v>
      </c>
      <c r="AE12" s="221">
        <v>50.6</v>
      </c>
      <c r="AF12" s="221">
        <v>50.3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46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32</v>
      </c>
      <c r="C14" s="221">
        <v>28</v>
      </c>
      <c r="D14" s="221">
        <v>28</v>
      </c>
      <c r="E14" s="221">
        <v>28</v>
      </c>
      <c r="F14" s="221">
        <v>32</v>
      </c>
      <c r="G14" s="221">
        <v>30</v>
      </c>
      <c r="H14" s="221">
        <v>30</v>
      </c>
      <c r="I14" s="221">
        <v>35</v>
      </c>
      <c r="J14" s="221">
        <v>38</v>
      </c>
      <c r="K14" s="221">
        <v>40</v>
      </c>
      <c r="L14" s="221">
        <v>40</v>
      </c>
      <c r="M14" s="221">
        <v>40</v>
      </c>
      <c r="N14" s="221">
        <v>40</v>
      </c>
      <c r="O14" s="221">
        <v>40</v>
      </c>
      <c r="P14" s="221">
        <v>35</v>
      </c>
      <c r="Q14" s="221">
        <v>35</v>
      </c>
      <c r="R14" s="221">
        <v>35</v>
      </c>
      <c r="S14" s="221">
        <v>35</v>
      </c>
      <c r="T14" s="221">
        <v>35</v>
      </c>
      <c r="U14" s="221">
        <v>38</v>
      </c>
      <c r="V14" s="221">
        <v>38</v>
      </c>
      <c r="W14" s="221">
        <v>38</v>
      </c>
      <c r="X14" s="221">
        <v>35</v>
      </c>
      <c r="Y14" s="221">
        <v>35</v>
      </c>
      <c r="Z14" s="221">
        <v>35</v>
      </c>
      <c r="AA14" s="221">
        <v>35</v>
      </c>
      <c r="AB14" s="221">
        <v>35</v>
      </c>
      <c r="AC14" s="221">
        <v>35</v>
      </c>
      <c r="AD14" s="221">
        <v>35</v>
      </c>
      <c r="AE14" s="221">
        <v>35</v>
      </c>
      <c r="AF14" s="221">
        <v>30</v>
      </c>
      <c r="AG14" s="229">
        <v>42</v>
      </c>
      <c r="AH14" s="226">
        <f t="shared" si="2"/>
        <v>40</v>
      </c>
      <c r="AI14" s="227">
        <f t="shared" si="3"/>
        <v>28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15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10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25.3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</v>
      </c>
      <c r="N16" s="221">
        <v>25</v>
      </c>
      <c r="O16" s="221">
        <v>25</v>
      </c>
      <c r="P16" s="221">
        <v>25</v>
      </c>
      <c r="Q16" s="221">
        <v>25</v>
      </c>
      <c r="R16" s="221">
        <v>25</v>
      </c>
      <c r="S16" s="221">
        <v>25</v>
      </c>
      <c r="T16" s="221">
        <v>25</v>
      </c>
      <c r="U16" s="221">
        <v>25</v>
      </c>
      <c r="V16" s="221">
        <v>25</v>
      </c>
      <c r="W16" s="221">
        <v>25</v>
      </c>
      <c r="X16" s="221">
        <v>25</v>
      </c>
      <c r="Y16" s="221">
        <v>25</v>
      </c>
      <c r="Z16" s="221">
        <v>25</v>
      </c>
      <c r="AA16" s="221">
        <v>25</v>
      </c>
      <c r="AB16" s="221">
        <v>25.2</v>
      </c>
      <c r="AC16" s="221">
        <v>25.2</v>
      </c>
      <c r="AD16" s="221">
        <v>25.2</v>
      </c>
      <c r="AE16" s="221">
        <v>25.1</v>
      </c>
      <c r="AF16" s="221">
        <v>25.1</v>
      </c>
      <c r="AG16" s="229">
        <v>25</v>
      </c>
      <c r="AH16" s="226">
        <f t="shared" si="2"/>
        <v>25.3</v>
      </c>
      <c r="AI16" s="227">
        <f t="shared" si="3"/>
        <v>25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0</v>
      </c>
      <c r="C17" s="221">
        <v>0</v>
      </c>
      <c r="D17" s="221">
        <v>0</v>
      </c>
      <c r="E17" s="221">
        <v>0</v>
      </c>
      <c r="F17" s="221">
        <v>0</v>
      </c>
      <c r="G17" s="221">
        <v>0</v>
      </c>
      <c r="H17" s="221">
        <v>0</v>
      </c>
      <c r="I17" s="221">
        <v>0</v>
      </c>
      <c r="J17" s="221">
        <v>0</v>
      </c>
      <c r="K17" s="221">
        <v>0</v>
      </c>
      <c r="L17" s="221">
        <v>0</v>
      </c>
      <c r="M17" s="221">
        <v>0</v>
      </c>
      <c r="N17" s="221">
        <v>0</v>
      </c>
      <c r="O17" s="221">
        <v>0</v>
      </c>
      <c r="P17" s="221">
        <v>0</v>
      </c>
      <c r="Q17" s="221">
        <v>0</v>
      </c>
      <c r="R17" s="221">
        <v>0</v>
      </c>
      <c r="S17" s="221">
        <v>0</v>
      </c>
      <c r="T17" s="221">
        <v>0</v>
      </c>
      <c r="U17" s="221">
        <v>0</v>
      </c>
      <c r="V17" s="221">
        <v>0</v>
      </c>
      <c r="W17" s="221">
        <v>0</v>
      </c>
      <c r="X17" s="221">
        <v>0</v>
      </c>
      <c r="Y17" s="221">
        <v>0</v>
      </c>
      <c r="Z17" s="221">
        <v>0</v>
      </c>
      <c r="AA17" s="221">
        <v>0</v>
      </c>
      <c r="AB17" s="221">
        <v>0</v>
      </c>
      <c r="AC17" s="221">
        <v>0</v>
      </c>
      <c r="AD17" s="221">
        <v>0</v>
      </c>
      <c r="AE17" s="221">
        <v>0</v>
      </c>
      <c r="AF17" s="221">
        <v>0</v>
      </c>
      <c r="AG17" s="229">
        <v>25</v>
      </c>
      <c r="AH17" s="226">
        <f t="shared" si="2"/>
        <v>0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33.299999999999997</v>
      </c>
      <c r="C19" s="221">
        <v>33.299999999999997</v>
      </c>
      <c r="D19" s="221">
        <v>33.299999999999997</v>
      </c>
      <c r="E19" s="221">
        <v>33.299999999999997</v>
      </c>
      <c r="F19" s="221">
        <v>33.299999999999997</v>
      </c>
      <c r="G19" s="221">
        <v>33.299999999999997</v>
      </c>
      <c r="H19" s="221">
        <v>0</v>
      </c>
      <c r="I19" s="221">
        <v>0</v>
      </c>
      <c r="J19" s="221">
        <v>19.8</v>
      </c>
      <c r="K19" s="221">
        <v>19.8</v>
      </c>
      <c r="L19" s="221">
        <v>19.8</v>
      </c>
      <c r="M19" s="221">
        <v>25</v>
      </c>
      <c r="N19" s="221">
        <v>25.8</v>
      </c>
      <c r="O19" s="221">
        <v>25.8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33.299999999999997</v>
      </c>
      <c r="AI19" s="227">
        <f t="shared" si="3"/>
        <v>0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23.5</v>
      </c>
      <c r="C20" s="221">
        <v>23.5</v>
      </c>
      <c r="D20" s="221">
        <v>23.5</v>
      </c>
      <c r="E20" s="221">
        <v>23.5</v>
      </c>
      <c r="F20" s="221">
        <v>23.5</v>
      </c>
      <c r="G20" s="221">
        <v>23.5</v>
      </c>
      <c r="H20" s="221">
        <v>23.5</v>
      </c>
      <c r="I20" s="221">
        <v>23.5</v>
      </c>
      <c r="J20" s="221">
        <v>23.5</v>
      </c>
      <c r="K20" s="221">
        <v>23.5</v>
      </c>
      <c r="L20" s="221">
        <v>23.5</v>
      </c>
      <c r="M20" s="221">
        <v>23.5</v>
      </c>
      <c r="N20" s="221">
        <v>23.5</v>
      </c>
      <c r="O20" s="221">
        <v>23.5</v>
      </c>
      <c r="P20" s="221">
        <v>23.5</v>
      </c>
      <c r="Q20" s="221">
        <v>23.5</v>
      </c>
      <c r="R20" s="221">
        <v>23.5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23.5</v>
      </c>
      <c r="AE20" s="221">
        <v>23.5</v>
      </c>
      <c r="AF20" s="221">
        <v>23.5</v>
      </c>
      <c r="AG20" s="229">
        <v>23.5</v>
      </c>
      <c r="AH20" s="226">
        <f t="shared" si="2"/>
        <v>23.5</v>
      </c>
      <c r="AI20" s="227">
        <f t="shared" si="3"/>
        <v>23.5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10</v>
      </c>
      <c r="C22" s="221">
        <v>10</v>
      </c>
      <c r="D22" s="221">
        <v>10</v>
      </c>
      <c r="E22" s="221">
        <v>10</v>
      </c>
      <c r="F22" s="221">
        <v>10</v>
      </c>
      <c r="G22" s="221">
        <v>10</v>
      </c>
      <c r="H22" s="221">
        <v>10</v>
      </c>
      <c r="I22" s="221">
        <v>10</v>
      </c>
      <c r="J22" s="221">
        <v>10</v>
      </c>
      <c r="K22" s="221">
        <v>10</v>
      </c>
      <c r="L22" s="221">
        <v>10</v>
      </c>
      <c r="M22" s="221">
        <v>10</v>
      </c>
      <c r="N22" s="221">
        <v>10</v>
      </c>
      <c r="O22" s="221">
        <v>10</v>
      </c>
      <c r="P22" s="221">
        <v>10</v>
      </c>
      <c r="Q22" s="221">
        <v>10</v>
      </c>
      <c r="R22" s="221">
        <v>10</v>
      </c>
      <c r="S22" s="221">
        <v>10</v>
      </c>
      <c r="T22" s="221">
        <v>10</v>
      </c>
      <c r="U22" s="221">
        <v>10</v>
      </c>
      <c r="V22" s="221">
        <v>10</v>
      </c>
      <c r="W22" s="221">
        <v>10</v>
      </c>
      <c r="X22" s="221">
        <v>10</v>
      </c>
      <c r="Y22" s="221">
        <v>10</v>
      </c>
      <c r="Z22" s="221">
        <v>10</v>
      </c>
      <c r="AA22" s="221">
        <v>10</v>
      </c>
      <c r="AB22" s="221">
        <v>10</v>
      </c>
      <c r="AC22" s="221">
        <v>10</v>
      </c>
      <c r="AD22" s="221">
        <v>10</v>
      </c>
      <c r="AE22" s="221">
        <v>10</v>
      </c>
      <c r="AF22" s="221">
        <v>10</v>
      </c>
      <c r="AG22" s="229">
        <v>22.1</v>
      </c>
      <c r="AH22" s="226">
        <f t="shared" si="2"/>
        <v>10</v>
      </c>
      <c r="AI22" s="227">
        <f t="shared" si="3"/>
        <v>10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0</v>
      </c>
      <c r="J24" s="221">
        <v>0</v>
      </c>
      <c r="K24" s="221">
        <v>0</v>
      </c>
      <c r="L24" s="221">
        <v>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22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15</v>
      </c>
      <c r="C25" s="221">
        <v>0</v>
      </c>
      <c r="D25" s="221">
        <v>0</v>
      </c>
      <c r="E25" s="221">
        <v>0</v>
      </c>
      <c r="F25" s="221">
        <v>5</v>
      </c>
      <c r="G25" s="221">
        <v>5</v>
      </c>
      <c r="H25" s="221">
        <v>5</v>
      </c>
      <c r="I25" s="221">
        <v>10</v>
      </c>
      <c r="J25" s="221">
        <v>15</v>
      </c>
      <c r="K25" s="221">
        <v>20</v>
      </c>
      <c r="L25" s="221">
        <v>20</v>
      </c>
      <c r="M25" s="221">
        <v>20</v>
      </c>
      <c r="N25" s="221">
        <v>20</v>
      </c>
      <c r="O25" s="221">
        <v>20</v>
      </c>
      <c r="P25" s="221">
        <v>10</v>
      </c>
      <c r="Q25" s="221">
        <v>10</v>
      </c>
      <c r="R25" s="221">
        <v>10</v>
      </c>
      <c r="S25" s="221">
        <v>10</v>
      </c>
      <c r="T25" s="221">
        <v>10</v>
      </c>
      <c r="U25" s="221">
        <v>10</v>
      </c>
      <c r="V25" s="221">
        <v>10</v>
      </c>
      <c r="W25" s="221">
        <v>12</v>
      </c>
      <c r="X25" s="221">
        <v>10</v>
      </c>
      <c r="Y25" s="221">
        <v>10</v>
      </c>
      <c r="Z25" s="221">
        <v>10</v>
      </c>
      <c r="AA25" s="221">
        <v>10</v>
      </c>
      <c r="AB25" s="221">
        <v>10</v>
      </c>
      <c r="AC25" s="221">
        <v>10</v>
      </c>
      <c r="AD25" s="221">
        <v>10</v>
      </c>
      <c r="AE25" s="221">
        <v>10</v>
      </c>
      <c r="AF25" s="221">
        <v>5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8.5</v>
      </c>
      <c r="C26" s="221">
        <v>8.5</v>
      </c>
      <c r="D26" s="221">
        <v>8.5</v>
      </c>
      <c r="E26" s="221">
        <v>8.5</v>
      </c>
      <c r="F26" s="221">
        <v>8.5</v>
      </c>
      <c r="G26" s="221">
        <v>8.5</v>
      </c>
      <c r="H26" s="221">
        <v>8.5</v>
      </c>
      <c r="I26" s="221">
        <v>8.5</v>
      </c>
      <c r="J26" s="221">
        <v>8.5</v>
      </c>
      <c r="K26" s="221">
        <v>8.5</v>
      </c>
      <c r="L26" s="221">
        <v>8.5</v>
      </c>
      <c r="M26" s="221">
        <v>8.5</v>
      </c>
      <c r="N26" s="221">
        <v>8.5</v>
      </c>
      <c r="O26" s="221">
        <v>8.5</v>
      </c>
      <c r="P26" s="221">
        <v>8.5</v>
      </c>
      <c r="Q26" s="221">
        <v>8.5</v>
      </c>
      <c r="R26" s="221">
        <v>8.5</v>
      </c>
      <c r="S26" s="221">
        <v>7.8</v>
      </c>
      <c r="T26" s="221">
        <v>7.8</v>
      </c>
      <c r="U26" s="221">
        <v>7.8</v>
      </c>
      <c r="V26" s="221">
        <v>7.8</v>
      </c>
      <c r="W26" s="221">
        <v>7.8</v>
      </c>
      <c r="X26" s="221">
        <v>7.8</v>
      </c>
      <c r="Y26" s="221">
        <v>7.8</v>
      </c>
      <c r="Z26" s="221">
        <v>7.8</v>
      </c>
      <c r="AA26" s="221">
        <v>7.8</v>
      </c>
      <c r="AB26" s="221">
        <v>7.8</v>
      </c>
      <c r="AC26" s="221">
        <v>7.8</v>
      </c>
      <c r="AD26" s="221">
        <v>7.8</v>
      </c>
      <c r="AE26" s="221">
        <v>7.8</v>
      </c>
      <c r="AF26" s="221">
        <v>7.8</v>
      </c>
      <c r="AG26" s="229">
        <v>14.9</v>
      </c>
      <c r="AH26" s="226">
        <f t="shared" si="2"/>
        <v>8.5</v>
      </c>
      <c r="AI26" s="227">
        <f t="shared" si="3"/>
        <v>7.8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10</v>
      </c>
      <c r="C27" s="221">
        <v>10</v>
      </c>
      <c r="D27" s="221">
        <v>10</v>
      </c>
      <c r="E27" s="221">
        <v>10</v>
      </c>
      <c r="F27" s="221">
        <v>10</v>
      </c>
      <c r="G27" s="221">
        <v>10</v>
      </c>
      <c r="H27" s="221">
        <v>10</v>
      </c>
      <c r="I27" s="221">
        <v>10</v>
      </c>
      <c r="J27" s="221">
        <v>10</v>
      </c>
      <c r="K27" s="221">
        <v>10</v>
      </c>
      <c r="L27" s="221">
        <v>10</v>
      </c>
      <c r="M27" s="221">
        <v>6</v>
      </c>
      <c r="N27" s="221">
        <v>6</v>
      </c>
      <c r="O27" s="221">
        <v>6</v>
      </c>
      <c r="P27" s="221">
        <v>6</v>
      </c>
      <c r="Q27" s="221">
        <v>6</v>
      </c>
      <c r="R27" s="221">
        <v>6</v>
      </c>
      <c r="S27" s="221">
        <v>8</v>
      </c>
      <c r="T27" s="221">
        <v>8</v>
      </c>
      <c r="U27" s="221">
        <v>8</v>
      </c>
      <c r="V27" s="221">
        <v>8</v>
      </c>
      <c r="W27" s="221">
        <v>8</v>
      </c>
      <c r="X27" s="221">
        <v>8</v>
      </c>
      <c r="Y27" s="221">
        <v>8</v>
      </c>
      <c r="Z27" s="221">
        <v>8</v>
      </c>
      <c r="AA27" s="221">
        <v>8</v>
      </c>
      <c r="AB27" s="221">
        <v>8</v>
      </c>
      <c r="AC27" s="221">
        <v>8</v>
      </c>
      <c r="AD27" s="221">
        <v>8</v>
      </c>
      <c r="AE27" s="221">
        <v>8</v>
      </c>
      <c r="AF27" s="221">
        <v>8</v>
      </c>
      <c r="AG27" s="229">
        <v>13.6</v>
      </c>
      <c r="AH27" s="226">
        <f t="shared" si="2"/>
        <v>10</v>
      </c>
      <c r="AI27" s="227">
        <f t="shared" si="3"/>
        <v>6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11.5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0</v>
      </c>
      <c r="I34" s="221">
        <v>0</v>
      </c>
      <c r="J34" s="221">
        <v>0</v>
      </c>
      <c r="K34" s="221">
        <v>0</v>
      </c>
      <c r="L34" s="221">
        <v>0</v>
      </c>
      <c r="M34" s="221">
        <v>0</v>
      </c>
      <c r="N34" s="221">
        <v>0</v>
      </c>
      <c r="O34" s="221">
        <v>0</v>
      </c>
      <c r="P34" s="221">
        <v>0</v>
      </c>
      <c r="Q34" s="221">
        <v>4.5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v>132</v>
      </c>
      <c r="C37" s="239">
        <v>134</v>
      </c>
      <c r="D37" s="239">
        <v>134</v>
      </c>
      <c r="E37" s="239">
        <v>134</v>
      </c>
      <c r="F37" s="239">
        <v>125</v>
      </c>
      <c r="G37" s="239">
        <v>125</v>
      </c>
      <c r="H37" s="239">
        <v>125</v>
      </c>
      <c r="I37" s="239">
        <v>125</v>
      </c>
      <c r="J37" s="239">
        <v>125</v>
      </c>
      <c r="K37" s="239">
        <v>125</v>
      </c>
      <c r="L37" s="239">
        <v>125</v>
      </c>
      <c r="M37" s="237">
        <f>133.3</f>
        <v>133.30000000000001</v>
      </c>
      <c r="N37" s="237">
        <f>132.9</f>
        <v>132.9</v>
      </c>
      <c r="O37" s="237">
        <f>99.3+32.1</f>
        <v>131.4</v>
      </c>
      <c r="P37" s="237">
        <f>97.7+32.3</f>
        <v>130</v>
      </c>
      <c r="Q37" s="237">
        <f>32.2+99.4</f>
        <v>131.60000000000002</v>
      </c>
      <c r="R37" s="237">
        <v>128.9</v>
      </c>
      <c r="S37" s="237">
        <v>128.9</v>
      </c>
      <c r="T37" s="237">
        <f>31.8+100.1</f>
        <v>131.9</v>
      </c>
      <c r="U37" s="237">
        <f>31.8+100.1</f>
        <v>131.9</v>
      </c>
      <c r="V37" s="237">
        <f>32.1+97.7</f>
        <v>129.80000000000001</v>
      </c>
      <c r="W37" s="239">
        <f>31.2+100.6</f>
        <v>131.79999999999998</v>
      </c>
      <c r="X37" s="239">
        <f>100+23.7</f>
        <v>123.7</v>
      </c>
      <c r="Y37" s="239">
        <f>100+23.7</f>
        <v>123.7</v>
      </c>
      <c r="Z37" s="239">
        <f>30.7+98.6</f>
        <v>129.29999999999998</v>
      </c>
      <c r="AA37" s="239">
        <v>129.5</v>
      </c>
      <c r="AB37" s="239">
        <f>31.4+99.7</f>
        <v>131.1</v>
      </c>
      <c r="AC37" s="239">
        <f>31.3+100.2</f>
        <v>131.5</v>
      </c>
      <c r="AD37" s="239">
        <f>31.3+100.2</f>
        <v>131.5</v>
      </c>
      <c r="AE37" s="239">
        <f>31.7+101.1</f>
        <v>132.79999999999998</v>
      </c>
      <c r="AF37" s="239">
        <f>32+101.3</f>
        <v>133.30000000000001</v>
      </c>
      <c r="AG37" s="235">
        <v>240</v>
      </c>
      <c r="AH37" s="226">
        <f t="shared" si="2"/>
        <v>134</v>
      </c>
      <c r="AI37" s="227">
        <f t="shared" si="3"/>
        <v>123.7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767.8</v>
      </c>
      <c r="C38" s="241">
        <f t="shared" si="4"/>
        <v>733.8</v>
      </c>
      <c r="D38" s="241">
        <f t="shared" si="4"/>
        <v>733.8</v>
      </c>
      <c r="E38" s="241">
        <f t="shared" si="4"/>
        <v>733.8</v>
      </c>
      <c r="F38" s="241">
        <f t="shared" si="4"/>
        <v>742.8</v>
      </c>
      <c r="G38" s="241">
        <f t="shared" si="4"/>
        <v>740.8</v>
      </c>
      <c r="H38" s="241">
        <f t="shared" si="4"/>
        <v>698.5</v>
      </c>
      <c r="I38" s="241">
        <f t="shared" si="4"/>
        <v>696.5</v>
      </c>
      <c r="J38" s="241">
        <f t="shared" si="4"/>
        <v>744.3</v>
      </c>
      <c r="K38" s="241">
        <f t="shared" si="4"/>
        <v>751.3</v>
      </c>
      <c r="L38" s="241">
        <f t="shared" si="4"/>
        <v>751.3</v>
      </c>
      <c r="M38" s="241">
        <f t="shared" si="4"/>
        <v>772.1</v>
      </c>
      <c r="N38" s="241">
        <f t="shared" si="4"/>
        <v>772.90000000000009</v>
      </c>
      <c r="O38" s="241">
        <f t="shared" si="4"/>
        <v>772.90000000000009</v>
      </c>
      <c r="P38" s="241">
        <f t="shared" si="4"/>
        <v>765.4</v>
      </c>
      <c r="Q38" s="241">
        <f t="shared" si="4"/>
        <v>769.8</v>
      </c>
      <c r="R38" s="241">
        <f t="shared" si="4"/>
        <v>774.3</v>
      </c>
      <c r="S38" s="241">
        <f t="shared" si="4"/>
        <v>775.6</v>
      </c>
      <c r="T38" s="241">
        <f t="shared" si="4"/>
        <v>775.6</v>
      </c>
      <c r="U38" s="241">
        <f t="shared" si="4"/>
        <v>778.6</v>
      </c>
      <c r="V38" s="241">
        <f t="shared" si="4"/>
        <v>778.6</v>
      </c>
      <c r="W38" s="241">
        <f t="shared" si="4"/>
        <v>780.6</v>
      </c>
      <c r="X38" s="241">
        <f t="shared" si="4"/>
        <v>775.6</v>
      </c>
      <c r="Y38" s="241">
        <f t="shared" si="4"/>
        <v>775.6</v>
      </c>
      <c r="Z38" s="241">
        <f t="shared" si="4"/>
        <v>775.6</v>
      </c>
      <c r="AA38" s="241">
        <f t="shared" si="4"/>
        <v>775.6</v>
      </c>
      <c r="AB38" s="241">
        <f t="shared" si="4"/>
        <v>775.7</v>
      </c>
      <c r="AC38" s="241">
        <f t="shared" si="4"/>
        <v>775.7</v>
      </c>
      <c r="AD38" s="241">
        <f t="shared" si="4"/>
        <v>775.5</v>
      </c>
      <c r="AE38" s="241">
        <f>SUM(AE11:AE36)</f>
        <v>775.7</v>
      </c>
      <c r="AF38" s="241">
        <f>SUM(AF11:AF36)</f>
        <v>765.6</v>
      </c>
      <c r="AG38" s="242">
        <f t="shared" si="4"/>
        <v>665.78</v>
      </c>
      <c r="AH38" s="226">
        <f t="shared" si="2"/>
        <v>780.6</v>
      </c>
      <c r="AI38" s="227">
        <f t="shared" si="3"/>
        <v>696.5</v>
      </c>
      <c r="AK38" s="228"/>
    </row>
    <row r="39" spans="1:88" x14ac:dyDescent="0.25">
      <c r="A39" s="243" t="s">
        <v>47</v>
      </c>
      <c r="B39" s="221">
        <v>300</v>
      </c>
      <c r="C39" s="221">
        <v>380</v>
      </c>
      <c r="D39" s="221">
        <v>456</v>
      </c>
      <c r="E39" s="221">
        <v>456</v>
      </c>
      <c r="F39" s="221">
        <f>456-76</f>
        <v>380</v>
      </c>
      <c r="G39" s="221">
        <v>456</v>
      </c>
      <c r="H39" s="221">
        <v>380</v>
      </c>
      <c r="I39" s="221">
        <v>380</v>
      </c>
      <c r="J39" s="221">
        <v>380</v>
      </c>
      <c r="K39" s="221">
        <v>380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300</v>
      </c>
      <c r="AK39" s="227">
        <f>76*4</f>
        <v>304</v>
      </c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48</v>
      </c>
      <c r="O40" s="245">
        <v>48</v>
      </c>
      <c r="P40" s="245">
        <v>48</v>
      </c>
      <c r="Q40" s="245">
        <v>48</v>
      </c>
      <c r="R40" s="245">
        <v>48</v>
      </c>
      <c r="S40" s="245">
        <v>48</v>
      </c>
      <c r="T40" s="245">
        <v>48</v>
      </c>
      <c r="U40" s="245">
        <v>48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48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382</v>
      </c>
      <c r="C42" s="241">
        <f t="shared" ref="C42:AG42" si="5">SUM(C39:C41)</f>
        <v>462</v>
      </c>
      <c r="D42" s="241">
        <f t="shared" si="5"/>
        <v>538</v>
      </c>
      <c r="E42" s="241">
        <f t="shared" si="5"/>
        <v>538</v>
      </c>
      <c r="F42" s="241">
        <f t="shared" si="5"/>
        <v>462</v>
      </c>
      <c r="G42" s="241">
        <f t="shared" si="5"/>
        <v>538</v>
      </c>
      <c r="H42" s="241">
        <f t="shared" si="5"/>
        <v>462</v>
      </c>
      <c r="I42" s="241">
        <f t="shared" si="5"/>
        <v>462</v>
      </c>
      <c r="J42" s="241">
        <f t="shared" si="5"/>
        <v>462</v>
      </c>
      <c r="K42" s="241">
        <f t="shared" si="5"/>
        <v>462</v>
      </c>
      <c r="L42" s="241">
        <f t="shared" si="5"/>
        <v>538</v>
      </c>
      <c r="M42" s="241">
        <f t="shared" si="5"/>
        <v>538</v>
      </c>
      <c r="N42" s="241">
        <f t="shared" si="5"/>
        <v>526</v>
      </c>
      <c r="O42" s="241">
        <f t="shared" si="5"/>
        <v>526</v>
      </c>
      <c r="P42" s="241">
        <f t="shared" si="5"/>
        <v>526</v>
      </c>
      <c r="Q42" s="241">
        <f t="shared" si="5"/>
        <v>526</v>
      </c>
      <c r="R42" s="241">
        <f t="shared" si="5"/>
        <v>526</v>
      </c>
      <c r="S42" s="241">
        <f t="shared" si="5"/>
        <v>526</v>
      </c>
      <c r="T42" s="241">
        <f t="shared" si="5"/>
        <v>526</v>
      </c>
      <c r="U42" s="241">
        <f t="shared" si="5"/>
        <v>526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>SUM(AF39:AF41)</f>
        <v>538</v>
      </c>
      <c r="AG42" s="242">
        <f t="shared" si="5"/>
        <v>538.1</v>
      </c>
      <c r="AH42" s="226">
        <f t="shared" si="2"/>
        <v>538</v>
      </c>
      <c r="AI42" s="227">
        <f t="shared" si="3"/>
        <v>382</v>
      </c>
      <c r="AK42" s="228"/>
    </row>
    <row r="43" spans="1:88" x14ac:dyDescent="0.25">
      <c r="A43" s="220" t="s">
        <v>51</v>
      </c>
      <c r="B43" s="221">
        <v>143</v>
      </c>
      <c r="C43" s="221">
        <v>143</v>
      </c>
      <c r="D43" s="221">
        <v>143</v>
      </c>
      <c r="E43" s="221">
        <v>143</v>
      </c>
      <c r="F43" s="221">
        <v>143</v>
      </c>
      <c r="G43" s="221">
        <v>143</v>
      </c>
      <c r="H43" s="221">
        <v>143</v>
      </c>
      <c r="I43" s="221">
        <v>143</v>
      </c>
      <c r="J43" s="221">
        <v>143</v>
      </c>
      <c r="K43" s="221">
        <v>143</v>
      </c>
      <c r="L43" s="221">
        <v>143</v>
      </c>
      <c r="M43" s="221">
        <v>143.4</v>
      </c>
      <c r="N43" s="221">
        <v>142.9</v>
      </c>
      <c r="O43" s="221">
        <v>142.4</v>
      </c>
      <c r="P43" s="221">
        <v>142.4</v>
      </c>
      <c r="Q43" s="221">
        <v>142.5</v>
      </c>
      <c r="R43" s="221">
        <v>142.5</v>
      </c>
      <c r="S43" s="221">
        <v>142.5</v>
      </c>
      <c r="T43" s="221">
        <v>142.5</v>
      </c>
      <c r="U43" s="221">
        <v>142.5</v>
      </c>
      <c r="V43" s="221">
        <v>141.69999999999999</v>
      </c>
      <c r="W43" s="221">
        <v>141.69999999999999</v>
      </c>
      <c r="X43" s="221">
        <v>141.69999999999999</v>
      </c>
      <c r="Y43" s="221">
        <v>141.69999999999999</v>
      </c>
      <c r="Z43" s="221">
        <v>141.69999999999999</v>
      </c>
      <c r="AA43" s="221">
        <v>141.69999999999999</v>
      </c>
      <c r="AB43" s="221">
        <v>143</v>
      </c>
      <c r="AC43" s="221">
        <v>143</v>
      </c>
      <c r="AD43" s="221">
        <v>142.69999999999999</v>
      </c>
      <c r="AE43" s="221">
        <v>142.1</v>
      </c>
      <c r="AF43" s="221">
        <v>141.4</v>
      </c>
      <c r="AG43" s="230">
        <v>144</v>
      </c>
      <c r="AH43" s="226">
        <f t="shared" si="2"/>
        <v>143.4</v>
      </c>
      <c r="AI43" s="227">
        <f t="shared" si="3"/>
        <v>141.4</v>
      </c>
      <c r="AK43" s="228"/>
    </row>
    <row r="44" spans="1:88" x14ac:dyDescent="0.25">
      <c r="A44" s="234" t="s">
        <v>52</v>
      </c>
      <c r="B44" s="245">
        <v>71.8</v>
      </c>
      <c r="C44" s="245">
        <v>71.8</v>
      </c>
      <c r="D44" s="245">
        <v>71.8</v>
      </c>
      <c r="E44" s="245">
        <v>71.8</v>
      </c>
      <c r="F44" s="245">
        <v>71.8</v>
      </c>
      <c r="G44" s="245">
        <v>71.8</v>
      </c>
      <c r="H44" s="245">
        <v>71.8</v>
      </c>
      <c r="I44" s="245">
        <v>71.8</v>
      </c>
      <c r="J44" s="245">
        <v>71.8</v>
      </c>
      <c r="K44" s="245">
        <v>71.8</v>
      </c>
      <c r="L44" s="245">
        <v>71.8</v>
      </c>
      <c r="M44" s="221">
        <v>72.900000000000006</v>
      </c>
      <c r="N44" s="221">
        <v>72.8</v>
      </c>
      <c r="O44" s="221">
        <v>72.099999999999994</v>
      </c>
      <c r="P44" s="221">
        <v>71.7</v>
      </c>
      <c r="Q44" s="221">
        <v>72.2</v>
      </c>
      <c r="R44" s="221">
        <v>71.2</v>
      </c>
      <c r="S44" s="221">
        <v>71.2</v>
      </c>
      <c r="T44" s="221">
        <v>71.2</v>
      </c>
      <c r="U44" s="221">
        <v>71.2</v>
      </c>
      <c r="V44" s="245">
        <v>70.900000000000006</v>
      </c>
      <c r="W44" s="245">
        <v>70.900000000000006</v>
      </c>
      <c r="X44" s="245">
        <v>70.900000000000006</v>
      </c>
      <c r="Y44" s="245">
        <v>70.900000000000006</v>
      </c>
      <c r="Z44" s="245">
        <v>70.900000000000006</v>
      </c>
      <c r="AA44" s="245">
        <v>70.900000000000006</v>
      </c>
      <c r="AB44" s="245">
        <v>72.599999999999994</v>
      </c>
      <c r="AC44" s="245">
        <v>72.599999999999994</v>
      </c>
      <c r="AD44" s="245">
        <v>72.8</v>
      </c>
      <c r="AE44" s="245">
        <v>73</v>
      </c>
      <c r="AF44" s="245">
        <v>72.5</v>
      </c>
      <c r="AG44" s="235">
        <v>70</v>
      </c>
      <c r="AH44" s="226">
        <f t="shared" si="2"/>
        <v>73</v>
      </c>
      <c r="AI44" s="227">
        <f t="shared" si="3"/>
        <v>70.900000000000006</v>
      </c>
      <c r="AK44" s="228"/>
    </row>
    <row r="45" spans="1:88" x14ac:dyDescent="0.25">
      <c r="A45" s="234" t="s">
        <v>53</v>
      </c>
      <c r="B45" s="245">
        <v>64.2</v>
      </c>
      <c r="C45" s="245">
        <v>64.2</v>
      </c>
      <c r="D45" s="245">
        <v>64.2</v>
      </c>
      <c r="E45" s="245">
        <v>64.2</v>
      </c>
      <c r="F45" s="245">
        <v>64.2</v>
      </c>
      <c r="G45" s="245">
        <v>64.2</v>
      </c>
      <c r="H45" s="245">
        <v>64.2</v>
      </c>
      <c r="I45" s="245">
        <v>64.2</v>
      </c>
      <c r="J45" s="245">
        <v>64.2</v>
      </c>
      <c r="K45" s="245">
        <v>64.2</v>
      </c>
      <c r="L45" s="245">
        <v>64.2</v>
      </c>
      <c r="M45" s="221">
        <v>64.7</v>
      </c>
      <c r="N45" s="221">
        <v>64.599999999999994</v>
      </c>
      <c r="O45" s="221">
        <v>64.8</v>
      </c>
      <c r="P45" s="221">
        <v>64.3</v>
      </c>
      <c r="Q45" s="221">
        <v>64.5</v>
      </c>
      <c r="R45" s="221">
        <v>64.900000000000006</v>
      </c>
      <c r="S45" s="221">
        <v>64.900000000000006</v>
      </c>
      <c r="T45" s="221">
        <v>64.900000000000006</v>
      </c>
      <c r="U45" s="221">
        <v>64.900000000000006</v>
      </c>
      <c r="V45" s="245">
        <v>64.5</v>
      </c>
      <c r="W45" s="245">
        <v>64.5</v>
      </c>
      <c r="X45" s="245">
        <v>64.5</v>
      </c>
      <c r="Y45" s="245">
        <v>64.5</v>
      </c>
      <c r="Z45" s="245">
        <v>64.5</v>
      </c>
      <c r="AA45" s="245">
        <v>64.5</v>
      </c>
      <c r="AB45" s="245">
        <v>64.3</v>
      </c>
      <c r="AC45" s="245">
        <v>64.3</v>
      </c>
      <c r="AD45" s="245">
        <v>64.5</v>
      </c>
      <c r="AE45" s="245">
        <v>64.599999999999994</v>
      </c>
      <c r="AF45" s="245">
        <v>64.2</v>
      </c>
      <c r="AG45" s="235">
        <v>69</v>
      </c>
      <c r="AH45" s="226">
        <f t="shared" si="2"/>
        <v>64.900000000000006</v>
      </c>
      <c r="AI45" s="227">
        <f t="shared" si="3"/>
        <v>64.2</v>
      </c>
      <c r="AK45" s="228"/>
    </row>
    <row r="46" spans="1:88" x14ac:dyDescent="0.25">
      <c r="A46" s="234" t="s">
        <v>54</v>
      </c>
      <c r="B46" s="237">
        <v>60.2</v>
      </c>
      <c r="C46" s="237">
        <v>60.2</v>
      </c>
      <c r="D46" s="237">
        <v>60.2</v>
      </c>
      <c r="E46" s="237">
        <v>60.2</v>
      </c>
      <c r="F46" s="237">
        <v>60.2</v>
      </c>
      <c r="G46" s="237">
        <v>60.2</v>
      </c>
      <c r="H46" s="237">
        <v>60.2</v>
      </c>
      <c r="I46" s="237">
        <v>60.2</v>
      </c>
      <c r="J46" s="237">
        <v>60.2</v>
      </c>
      <c r="K46" s="237">
        <v>60.2</v>
      </c>
      <c r="L46" s="237">
        <v>60.2</v>
      </c>
      <c r="M46" s="221">
        <v>60.9</v>
      </c>
      <c r="N46" s="221">
        <v>60.9</v>
      </c>
      <c r="O46" s="221">
        <v>60.9</v>
      </c>
      <c r="P46" s="221">
        <v>60.9</v>
      </c>
      <c r="Q46" s="221">
        <v>60.9</v>
      </c>
      <c r="R46" s="221">
        <v>60.7</v>
      </c>
      <c r="S46" s="221">
        <v>60.7</v>
      </c>
      <c r="T46" s="221">
        <v>60.7</v>
      </c>
      <c r="U46" s="221">
        <v>60.7</v>
      </c>
      <c r="V46" s="245">
        <v>60.9</v>
      </c>
      <c r="W46" s="245">
        <v>60.9</v>
      </c>
      <c r="X46" s="245">
        <v>60.9</v>
      </c>
      <c r="Y46" s="245">
        <v>60.9</v>
      </c>
      <c r="Z46" s="245">
        <v>60.9</v>
      </c>
      <c r="AA46" s="245">
        <v>60.9</v>
      </c>
      <c r="AB46" s="237">
        <v>60.9</v>
      </c>
      <c r="AC46" s="237">
        <v>60.9</v>
      </c>
      <c r="AD46" s="237">
        <v>61.2</v>
      </c>
      <c r="AE46" s="237">
        <v>60.9</v>
      </c>
      <c r="AF46" s="237">
        <v>60.7</v>
      </c>
      <c r="AG46" s="235">
        <v>60</v>
      </c>
      <c r="AH46" s="226">
        <f t="shared" si="2"/>
        <v>61.2</v>
      </c>
      <c r="AI46" s="227">
        <f t="shared" si="3"/>
        <v>60.2</v>
      </c>
      <c r="AK46" s="228"/>
    </row>
    <row r="47" spans="1:88" x14ac:dyDescent="0.25">
      <c r="A47" s="234" t="s">
        <v>55</v>
      </c>
      <c r="B47" s="237">
        <v>28.8</v>
      </c>
      <c r="C47" s="237">
        <v>28.8</v>
      </c>
      <c r="D47" s="237">
        <v>28.8</v>
      </c>
      <c r="E47" s="237">
        <v>28.8</v>
      </c>
      <c r="F47" s="237">
        <v>28.8</v>
      </c>
      <c r="G47" s="237">
        <v>28.8</v>
      </c>
      <c r="H47" s="237">
        <v>28.8</v>
      </c>
      <c r="I47" s="237">
        <v>28.8</v>
      </c>
      <c r="J47" s="237">
        <v>28.8</v>
      </c>
      <c r="K47" s="237">
        <v>28.8</v>
      </c>
      <c r="L47" s="237">
        <v>28.8</v>
      </c>
      <c r="M47" s="221">
        <v>28.7</v>
      </c>
      <c r="N47" s="221">
        <v>28.8</v>
      </c>
      <c r="O47" s="221">
        <v>28.8</v>
      </c>
      <c r="P47" s="221">
        <v>28.8</v>
      </c>
      <c r="Q47" s="221">
        <v>28.8</v>
      </c>
      <c r="R47" s="221">
        <v>28.8</v>
      </c>
      <c r="S47" s="221">
        <v>28.8</v>
      </c>
      <c r="T47" s="221">
        <v>28.8</v>
      </c>
      <c r="U47" s="221">
        <v>28.8</v>
      </c>
      <c r="V47" s="245">
        <v>29.1</v>
      </c>
      <c r="W47" s="245">
        <v>29.1</v>
      </c>
      <c r="X47" s="245">
        <v>29.1</v>
      </c>
      <c r="Y47" s="245">
        <v>29.1</v>
      </c>
      <c r="Z47" s="245">
        <v>29.1</v>
      </c>
      <c r="AA47" s="245">
        <v>29.1</v>
      </c>
      <c r="AB47" s="237">
        <v>29.1</v>
      </c>
      <c r="AC47" s="237">
        <v>29.1</v>
      </c>
      <c r="AD47" s="237">
        <v>29.1</v>
      </c>
      <c r="AE47" s="237">
        <v>29</v>
      </c>
      <c r="AF47" s="237">
        <v>28.9</v>
      </c>
      <c r="AG47" s="235">
        <v>30</v>
      </c>
      <c r="AH47" s="226">
        <f t="shared" si="2"/>
        <v>29.1</v>
      </c>
      <c r="AI47" s="227">
        <f t="shared" si="3"/>
        <v>28.7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6</v>
      </c>
      <c r="N48" s="221">
        <v>8</v>
      </c>
      <c r="O48" s="221">
        <v>8</v>
      </c>
      <c r="P48" s="221">
        <v>10</v>
      </c>
      <c r="Q48" s="221">
        <v>10</v>
      </c>
      <c r="R48" s="221">
        <v>10</v>
      </c>
      <c r="S48" s="221">
        <v>10</v>
      </c>
      <c r="T48" s="221">
        <v>10</v>
      </c>
      <c r="U48" s="221">
        <v>10</v>
      </c>
      <c r="V48" s="221">
        <v>10</v>
      </c>
      <c r="W48" s="221">
        <v>10</v>
      </c>
      <c r="X48" s="221">
        <v>10</v>
      </c>
      <c r="Y48" s="221">
        <v>0</v>
      </c>
      <c r="Z48" s="221">
        <v>0</v>
      </c>
      <c r="AA48" s="221">
        <v>0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17.399999999999999</v>
      </c>
      <c r="C49" s="245">
        <v>17.399999999999999</v>
      </c>
      <c r="D49" s="245">
        <v>17.399999999999999</v>
      </c>
      <c r="E49" s="245">
        <v>17.399999999999999</v>
      </c>
      <c r="F49" s="245">
        <v>13</v>
      </c>
      <c r="G49" s="245">
        <v>13</v>
      </c>
      <c r="H49" s="245">
        <v>17</v>
      </c>
      <c r="I49" s="245">
        <v>17</v>
      </c>
      <c r="J49" s="245">
        <v>17</v>
      </c>
      <c r="K49" s="245">
        <v>17</v>
      </c>
      <c r="L49" s="245">
        <v>17</v>
      </c>
      <c r="M49" s="245">
        <v>17</v>
      </c>
      <c r="N49" s="221">
        <v>17.5</v>
      </c>
      <c r="O49" s="221">
        <v>14.9</v>
      </c>
      <c r="P49" s="221">
        <v>14.9</v>
      </c>
      <c r="Q49" s="221">
        <v>14.9</v>
      </c>
      <c r="R49" s="221">
        <v>14.9</v>
      </c>
      <c r="S49" s="221">
        <v>14.9</v>
      </c>
      <c r="T49" s="221">
        <v>14.9</v>
      </c>
      <c r="U49" s="221">
        <v>14.9</v>
      </c>
      <c r="V49" s="221">
        <v>17.100000000000001</v>
      </c>
      <c r="W49" s="221">
        <v>17.100000000000001</v>
      </c>
      <c r="X49" s="221">
        <v>17.100000000000001</v>
      </c>
      <c r="Y49" s="221">
        <v>17.100000000000001</v>
      </c>
      <c r="Z49" s="221">
        <v>17.100000000000001</v>
      </c>
      <c r="AA49" s="221">
        <v>17.100000000000001</v>
      </c>
      <c r="AB49" s="245">
        <v>17.399999999999999</v>
      </c>
      <c r="AC49" s="245">
        <v>17.399999999999999</v>
      </c>
      <c r="AD49" s="245">
        <v>17.3</v>
      </c>
      <c r="AE49" s="245">
        <v>17.399999999999999</v>
      </c>
      <c r="AF49" s="245">
        <v>17.399999999999999</v>
      </c>
      <c r="AG49" s="235">
        <v>24</v>
      </c>
      <c r="AH49" s="226">
        <f t="shared" si="2"/>
        <v>17.5</v>
      </c>
      <c r="AI49" s="227">
        <f t="shared" si="3"/>
        <v>13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45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13.3</v>
      </c>
      <c r="C51" s="245">
        <v>13.3</v>
      </c>
      <c r="D51" s="245">
        <v>13.3</v>
      </c>
      <c r="E51" s="245">
        <v>13.3</v>
      </c>
      <c r="F51" s="245">
        <v>13.3</v>
      </c>
      <c r="G51" s="245">
        <v>13.3</v>
      </c>
      <c r="H51" s="245">
        <v>13.3</v>
      </c>
      <c r="I51" s="245">
        <v>13.3</v>
      </c>
      <c r="J51" s="245">
        <v>13.3</v>
      </c>
      <c r="K51" s="245">
        <v>13.3</v>
      </c>
      <c r="L51" s="245">
        <v>13.3</v>
      </c>
      <c r="M51" s="245">
        <v>13.3</v>
      </c>
      <c r="N51" s="221">
        <v>13.4</v>
      </c>
      <c r="O51" s="221">
        <v>13.4</v>
      </c>
      <c r="P51" s="221">
        <v>13.4</v>
      </c>
      <c r="Q51" s="221">
        <v>11.1</v>
      </c>
      <c r="R51" s="221">
        <v>11.1</v>
      </c>
      <c r="S51" s="221">
        <v>11.1</v>
      </c>
      <c r="T51" s="221">
        <v>11.1</v>
      </c>
      <c r="U51" s="221">
        <v>11.1</v>
      </c>
      <c r="V51" s="221">
        <v>13.1</v>
      </c>
      <c r="W51" s="221">
        <v>13.1</v>
      </c>
      <c r="X51" s="221">
        <v>13.1</v>
      </c>
      <c r="Y51" s="221">
        <v>13.1</v>
      </c>
      <c r="Z51" s="221">
        <v>13.1</v>
      </c>
      <c r="AA51" s="221">
        <v>13.1</v>
      </c>
      <c r="AB51" s="245">
        <v>13.2</v>
      </c>
      <c r="AC51" s="245">
        <v>13.2</v>
      </c>
      <c r="AD51" s="245">
        <v>13.3</v>
      </c>
      <c r="AE51" s="245">
        <v>13.6</v>
      </c>
      <c r="AF51" s="245">
        <v>13.3</v>
      </c>
      <c r="AG51" s="235">
        <v>14.1</v>
      </c>
      <c r="AH51" s="226">
        <f t="shared" si="2"/>
        <v>13.6</v>
      </c>
      <c r="AI51" s="227">
        <f t="shared" si="3"/>
        <v>11.1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45">
        <v>14</v>
      </c>
      <c r="N52" s="221">
        <v>14</v>
      </c>
      <c r="O52" s="221">
        <v>4.9000000000000004</v>
      </c>
      <c r="P52" s="221">
        <v>14.1</v>
      </c>
      <c r="Q52" s="221">
        <v>14.1</v>
      </c>
      <c r="R52" s="221">
        <v>14.1</v>
      </c>
      <c r="S52" s="221">
        <v>14.1</v>
      </c>
      <c r="T52" s="221">
        <v>14.1</v>
      </c>
      <c r="U52" s="221">
        <v>14.1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45">
        <v>14.1</v>
      </c>
      <c r="AC52" s="245">
        <v>14.1</v>
      </c>
      <c r="AD52" s="245">
        <v>14.1</v>
      </c>
      <c r="AE52" s="245">
        <v>14.1</v>
      </c>
      <c r="AF52" s="245">
        <v>14.1</v>
      </c>
      <c r="AG52" s="235">
        <v>14</v>
      </c>
      <c r="AH52" s="226">
        <f t="shared" si="2"/>
        <v>14.1</v>
      </c>
      <c r="AI52" s="227">
        <f t="shared" si="3"/>
        <v>4.9000000000000004</v>
      </c>
      <c r="AK52" s="228"/>
    </row>
    <row r="53" spans="1:41" x14ac:dyDescent="0.25">
      <c r="A53" s="234" t="s">
        <v>61</v>
      </c>
      <c r="B53" s="245">
        <v>10</v>
      </c>
      <c r="C53" s="245">
        <v>10</v>
      </c>
      <c r="D53" s="245">
        <v>10</v>
      </c>
      <c r="E53" s="245">
        <v>10</v>
      </c>
      <c r="F53" s="245">
        <v>10</v>
      </c>
      <c r="G53" s="245">
        <v>10</v>
      </c>
      <c r="H53" s="245">
        <v>10</v>
      </c>
      <c r="I53" s="245">
        <v>10</v>
      </c>
      <c r="J53" s="245">
        <v>10</v>
      </c>
      <c r="K53" s="245">
        <v>10</v>
      </c>
      <c r="L53" s="245">
        <v>10</v>
      </c>
      <c r="M53" s="245">
        <v>10</v>
      </c>
      <c r="N53" s="221">
        <v>10</v>
      </c>
      <c r="O53" s="221">
        <v>10</v>
      </c>
      <c r="P53" s="221">
        <v>10</v>
      </c>
      <c r="Q53" s="221">
        <v>6.3</v>
      </c>
      <c r="R53" s="221">
        <v>6.3</v>
      </c>
      <c r="S53" s="221">
        <v>6.3</v>
      </c>
      <c r="T53" s="221">
        <v>6.3</v>
      </c>
      <c r="U53" s="221">
        <v>6.3</v>
      </c>
      <c r="V53" s="221">
        <v>6.3</v>
      </c>
      <c r="W53" s="221">
        <v>6.3</v>
      </c>
      <c r="X53" s="221">
        <v>6.3</v>
      </c>
      <c r="Y53" s="221">
        <v>6.3</v>
      </c>
      <c r="Z53" s="221">
        <v>6.3</v>
      </c>
      <c r="AA53" s="221">
        <v>6.3</v>
      </c>
      <c r="AB53" s="245">
        <v>9.1999999999999993</v>
      </c>
      <c r="AC53" s="245">
        <v>9.1999999999999993</v>
      </c>
      <c r="AD53" s="245">
        <v>9.3000000000000007</v>
      </c>
      <c r="AE53" s="245">
        <v>9.3000000000000007</v>
      </c>
      <c r="AF53" s="245">
        <v>9.3000000000000007</v>
      </c>
      <c r="AG53" s="235">
        <v>10.050000000000001</v>
      </c>
      <c r="AH53" s="226">
        <f t="shared" si="2"/>
        <v>10</v>
      </c>
      <c r="AI53" s="227">
        <f t="shared" si="3"/>
        <v>6.3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435.44</v>
      </c>
      <c r="C56" s="241">
        <f t="shared" ref="C56:AG56" si="6">SUM(C43:C55)</f>
        <v>435.44</v>
      </c>
      <c r="D56" s="241">
        <f t="shared" si="6"/>
        <v>435.44</v>
      </c>
      <c r="E56" s="241">
        <f t="shared" si="6"/>
        <v>435.44</v>
      </c>
      <c r="F56" s="241">
        <f t="shared" si="6"/>
        <v>431.04</v>
      </c>
      <c r="G56" s="241">
        <f t="shared" si="6"/>
        <v>431.04</v>
      </c>
      <c r="H56" s="241">
        <f t="shared" si="6"/>
        <v>435.04</v>
      </c>
      <c r="I56" s="241">
        <f t="shared" si="6"/>
        <v>435.04</v>
      </c>
      <c r="J56" s="241">
        <f t="shared" si="6"/>
        <v>435.04</v>
      </c>
      <c r="K56" s="241">
        <f t="shared" si="6"/>
        <v>435.04</v>
      </c>
      <c r="L56" s="241">
        <f t="shared" si="6"/>
        <v>435.04</v>
      </c>
      <c r="M56" s="241">
        <f t="shared" si="6"/>
        <v>443.64</v>
      </c>
      <c r="N56" s="241">
        <f t="shared" si="6"/>
        <v>445.63999999999993</v>
      </c>
      <c r="O56" s="241">
        <f t="shared" si="6"/>
        <v>432.93999999999994</v>
      </c>
      <c r="P56" s="241">
        <f t="shared" si="6"/>
        <v>443.24</v>
      </c>
      <c r="Q56" s="241">
        <f t="shared" si="6"/>
        <v>438.04</v>
      </c>
      <c r="R56" s="241">
        <f t="shared" si="6"/>
        <v>437.24000000000007</v>
      </c>
      <c r="S56" s="241">
        <f t="shared" si="6"/>
        <v>437.24000000000007</v>
      </c>
      <c r="T56" s="241">
        <f t="shared" si="6"/>
        <v>437.24000000000007</v>
      </c>
      <c r="U56" s="241">
        <f t="shared" si="6"/>
        <v>437.24000000000007</v>
      </c>
      <c r="V56" s="241">
        <f t="shared" si="6"/>
        <v>440.34000000000009</v>
      </c>
      <c r="W56" s="241">
        <f t="shared" si="6"/>
        <v>440.34000000000009</v>
      </c>
      <c r="X56" s="241">
        <f t="shared" si="6"/>
        <v>440.34000000000009</v>
      </c>
      <c r="Y56" s="241">
        <f t="shared" si="6"/>
        <v>430.34000000000009</v>
      </c>
      <c r="Z56" s="241">
        <f t="shared" si="6"/>
        <v>430.34000000000009</v>
      </c>
      <c r="AA56" s="241">
        <f t="shared" si="6"/>
        <v>430.34000000000009</v>
      </c>
      <c r="AB56" s="241">
        <f t="shared" si="6"/>
        <v>436.53999999999996</v>
      </c>
      <c r="AC56" s="241">
        <f t="shared" si="6"/>
        <v>436.53999999999996</v>
      </c>
      <c r="AD56" s="241">
        <f t="shared" si="6"/>
        <v>437.04000000000008</v>
      </c>
      <c r="AE56" s="241">
        <f t="shared" si="6"/>
        <v>436.74</v>
      </c>
      <c r="AF56" s="241">
        <f>SUM(AF43:AF55)</f>
        <v>434.54</v>
      </c>
      <c r="AG56" s="242">
        <f t="shared" si="6"/>
        <v>489.91</v>
      </c>
      <c r="AH56" s="226">
        <f t="shared" si="2"/>
        <v>445.63999999999993</v>
      </c>
      <c r="AI56" s="227">
        <f t="shared" si="3"/>
        <v>430.34000000000009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30</v>
      </c>
      <c r="L57" s="221">
        <v>13</v>
      </c>
      <c r="M57" s="221">
        <v>13</v>
      </c>
      <c r="N57" s="221">
        <v>0</v>
      </c>
      <c r="O57" s="221">
        <v>0</v>
      </c>
      <c r="P57" s="221">
        <v>29.6</v>
      </c>
      <c r="Q57" s="221">
        <v>30</v>
      </c>
      <c r="R57" s="221">
        <v>30</v>
      </c>
      <c r="S57" s="221">
        <v>19.7</v>
      </c>
      <c r="T57" s="221">
        <v>19.7</v>
      </c>
      <c r="U57" s="221">
        <v>20</v>
      </c>
      <c r="V57" s="221">
        <v>10.3</v>
      </c>
      <c r="W57" s="221">
        <v>0</v>
      </c>
      <c r="X57" s="221">
        <v>0</v>
      </c>
      <c r="Y57" s="221">
        <v>30</v>
      </c>
      <c r="Z57" s="221">
        <v>60.3</v>
      </c>
      <c r="AA57" s="221">
        <v>60.3</v>
      </c>
      <c r="AB57" s="221">
        <v>60</v>
      </c>
      <c r="AC57" s="221">
        <v>57.9</v>
      </c>
      <c r="AD57" s="221">
        <v>57.5</v>
      </c>
      <c r="AE57" s="221">
        <v>14.1</v>
      </c>
      <c r="AF57" s="221">
        <v>0</v>
      </c>
      <c r="AG57" s="230">
        <v>60</v>
      </c>
      <c r="AH57" s="226">
        <f t="shared" si="2"/>
        <v>60.3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13</v>
      </c>
      <c r="L58" s="245">
        <v>4</v>
      </c>
      <c r="M58" s="245">
        <v>4</v>
      </c>
      <c r="N58" s="245">
        <v>0</v>
      </c>
      <c r="O58" s="245">
        <v>0</v>
      </c>
      <c r="P58" s="245">
        <v>10.8</v>
      </c>
      <c r="Q58" s="245">
        <v>15.1</v>
      </c>
      <c r="R58" s="245">
        <v>14.6</v>
      </c>
      <c r="S58" s="245">
        <v>9.6</v>
      </c>
      <c r="T58" s="245">
        <v>9.6</v>
      </c>
      <c r="U58" s="245">
        <v>10</v>
      </c>
      <c r="V58" s="245">
        <v>3.5</v>
      </c>
      <c r="W58" s="245">
        <v>0</v>
      </c>
      <c r="X58" s="245">
        <v>0</v>
      </c>
      <c r="Y58" s="245">
        <v>15</v>
      </c>
      <c r="Z58" s="245">
        <v>30.7</v>
      </c>
      <c r="AA58" s="245">
        <v>30.7</v>
      </c>
      <c r="AB58" s="245">
        <v>23.2</v>
      </c>
      <c r="AC58" s="245">
        <v>29.3</v>
      </c>
      <c r="AD58" s="245">
        <v>29.3</v>
      </c>
      <c r="AE58" s="245">
        <v>9.6</v>
      </c>
      <c r="AF58" s="245">
        <v>0</v>
      </c>
      <c r="AG58" s="235">
        <v>32</v>
      </c>
      <c r="AH58" s="226">
        <f t="shared" si="2"/>
        <v>30.7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4.7</v>
      </c>
      <c r="L59" s="247">
        <v>1.5</v>
      </c>
      <c r="M59" s="247">
        <v>1.5</v>
      </c>
      <c r="N59" s="247">
        <v>0</v>
      </c>
      <c r="O59" s="247">
        <v>1</v>
      </c>
      <c r="P59" s="247">
        <v>4</v>
      </c>
      <c r="Q59" s="247">
        <v>5.5</v>
      </c>
      <c r="R59" s="247">
        <v>5.3</v>
      </c>
      <c r="S59" s="247">
        <v>3.5</v>
      </c>
      <c r="T59" s="247">
        <v>3.5</v>
      </c>
      <c r="U59" s="247">
        <v>5</v>
      </c>
      <c r="V59" s="247">
        <v>1.3</v>
      </c>
      <c r="W59" s="247">
        <v>0</v>
      </c>
      <c r="X59" s="247">
        <v>0</v>
      </c>
      <c r="Y59" s="247">
        <v>7</v>
      </c>
      <c r="Z59" s="247">
        <v>11.2</v>
      </c>
      <c r="AA59" s="247">
        <v>11.2</v>
      </c>
      <c r="AB59" s="247">
        <v>8.5</v>
      </c>
      <c r="AC59" s="247">
        <v>10.7</v>
      </c>
      <c r="AD59" s="247">
        <v>10.7</v>
      </c>
      <c r="AE59" s="247">
        <v>3.5</v>
      </c>
      <c r="AF59" s="247">
        <v>0</v>
      </c>
      <c r="AG59" s="248">
        <v>14</v>
      </c>
      <c r="AH59" s="226">
        <f t="shared" si="2"/>
        <v>11.2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47.7</v>
      </c>
      <c r="L60" s="241">
        <f t="shared" si="7"/>
        <v>18.5</v>
      </c>
      <c r="M60" s="241">
        <f t="shared" si="7"/>
        <v>18.5</v>
      </c>
      <c r="N60" s="241">
        <f t="shared" si="7"/>
        <v>0</v>
      </c>
      <c r="O60" s="241">
        <f t="shared" si="7"/>
        <v>1</v>
      </c>
      <c r="P60" s="241">
        <f t="shared" si="7"/>
        <v>44.400000000000006</v>
      </c>
      <c r="Q60" s="241">
        <f t="shared" si="7"/>
        <v>50.6</v>
      </c>
      <c r="R60" s="241">
        <f t="shared" si="7"/>
        <v>49.9</v>
      </c>
      <c r="S60" s="241">
        <f t="shared" si="7"/>
        <v>32.799999999999997</v>
      </c>
      <c r="T60" s="241">
        <f t="shared" si="7"/>
        <v>32.799999999999997</v>
      </c>
      <c r="U60" s="241">
        <f t="shared" si="7"/>
        <v>35</v>
      </c>
      <c r="V60" s="241">
        <f t="shared" si="7"/>
        <v>15.100000000000001</v>
      </c>
      <c r="W60" s="241">
        <f t="shared" si="7"/>
        <v>0</v>
      </c>
      <c r="X60" s="241">
        <f t="shared" si="7"/>
        <v>0</v>
      </c>
      <c r="Y60" s="241">
        <f t="shared" si="7"/>
        <v>52</v>
      </c>
      <c r="Z60" s="241">
        <f t="shared" si="7"/>
        <v>102.2</v>
      </c>
      <c r="AA60" s="241">
        <f t="shared" si="7"/>
        <v>102.2</v>
      </c>
      <c r="AB60" s="241">
        <f t="shared" si="7"/>
        <v>91.7</v>
      </c>
      <c r="AC60" s="241">
        <f t="shared" si="7"/>
        <v>97.9</v>
      </c>
      <c r="AD60" s="241">
        <f t="shared" si="7"/>
        <v>97.5</v>
      </c>
      <c r="AE60" s="241">
        <f t="shared" si="7"/>
        <v>27.2</v>
      </c>
      <c r="AF60" s="241">
        <f>SUM(AF57:AF59)</f>
        <v>0</v>
      </c>
      <c r="AG60" s="242">
        <f t="shared" si="7"/>
        <v>106</v>
      </c>
      <c r="AH60" s="226">
        <f t="shared" si="2"/>
        <v>102.2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20</v>
      </c>
      <c r="S61" s="221">
        <v>33</v>
      </c>
      <c r="T61" s="221">
        <v>32</v>
      </c>
      <c r="U61" s="221">
        <v>33</v>
      </c>
      <c r="V61" s="221">
        <v>23.5</v>
      </c>
      <c r="W61" s="221">
        <v>21.4</v>
      </c>
      <c r="X61" s="221">
        <v>24.1</v>
      </c>
      <c r="Y61" s="221">
        <v>23.2</v>
      </c>
      <c r="Z61" s="221">
        <v>37.6</v>
      </c>
      <c r="AA61" s="221">
        <v>42.5</v>
      </c>
      <c r="AB61" s="221">
        <v>45.3</v>
      </c>
      <c r="AC61" s="221">
        <v>47.1</v>
      </c>
      <c r="AD61" s="221">
        <v>48.3</v>
      </c>
      <c r="AE61" s="221">
        <v>45.7</v>
      </c>
      <c r="AF61" s="221">
        <v>0</v>
      </c>
      <c r="AG61" s="230"/>
      <c r="AH61" s="226">
        <f t="shared" si="2"/>
        <v>48.3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-202</v>
      </c>
      <c r="C63" s="245">
        <v>-290</v>
      </c>
      <c r="D63" s="245">
        <v>-365</v>
      </c>
      <c r="E63" s="245">
        <v>-360</v>
      </c>
      <c r="F63" s="245">
        <v>-284</v>
      </c>
      <c r="G63" s="245">
        <v>-384</v>
      </c>
      <c r="H63" s="245">
        <v>-323</v>
      </c>
      <c r="I63" s="245">
        <v>-357</v>
      </c>
      <c r="J63" s="245">
        <v>-324</v>
      </c>
      <c r="K63" s="245">
        <v>-365</v>
      </c>
      <c r="L63" s="245">
        <v>-371</v>
      </c>
      <c r="M63" s="245">
        <v>-395</v>
      </c>
      <c r="N63" s="245">
        <v>-364</v>
      </c>
      <c r="O63" s="245">
        <v>-345</v>
      </c>
      <c r="P63" s="245">
        <v>-348.7</v>
      </c>
      <c r="Q63" s="245">
        <v>-329.2</v>
      </c>
      <c r="R63" s="245">
        <v>-330.5</v>
      </c>
      <c r="S63" s="245">
        <v>-339</v>
      </c>
      <c r="T63" s="245">
        <v>-299</v>
      </c>
      <c r="U63" s="245">
        <v>-331</v>
      </c>
      <c r="V63" s="245">
        <v>-352</v>
      </c>
      <c r="W63" s="245">
        <v>-375</v>
      </c>
      <c r="X63" s="245">
        <v>-325</v>
      </c>
      <c r="Y63" s="245">
        <v>-228</v>
      </c>
      <c r="Z63" s="245">
        <v>-232</v>
      </c>
      <c r="AA63" s="245">
        <v>-238</v>
      </c>
      <c r="AB63" s="245">
        <v>-280</v>
      </c>
      <c r="AC63" s="245">
        <v>-309.89999999999998</v>
      </c>
      <c r="AD63" s="245">
        <v>-317.2</v>
      </c>
      <c r="AE63" s="245">
        <v>-345</v>
      </c>
      <c r="AF63" s="245">
        <v>-315</v>
      </c>
      <c r="AG63" s="255"/>
      <c r="AH63" s="226">
        <f t="shared" si="2"/>
        <v>-202</v>
      </c>
      <c r="AI63" s="227">
        <f t="shared" si="3"/>
        <v>-395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8</v>
      </c>
      <c r="C66" s="257">
        <v>8</v>
      </c>
      <c r="D66" s="257">
        <v>5</v>
      </c>
      <c r="E66" s="257">
        <v>5</v>
      </c>
      <c r="F66" s="257">
        <v>5</v>
      </c>
      <c r="G66" s="257">
        <v>5</v>
      </c>
      <c r="H66" s="257">
        <v>5</v>
      </c>
      <c r="I66" s="257">
        <v>5</v>
      </c>
      <c r="J66" s="257">
        <v>5</v>
      </c>
      <c r="K66" s="257">
        <v>5</v>
      </c>
      <c r="L66" s="257">
        <v>5</v>
      </c>
      <c r="M66" s="257">
        <v>5</v>
      </c>
      <c r="N66" s="257">
        <v>5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5</v>
      </c>
      <c r="AC66" s="257">
        <v>5</v>
      </c>
      <c r="AD66" s="257">
        <v>5</v>
      </c>
      <c r="AE66" s="257">
        <v>5</v>
      </c>
      <c r="AF66" s="257">
        <v>5</v>
      </c>
      <c r="AG66" s="255"/>
      <c r="AH66" s="226">
        <f t="shared" si="2"/>
        <v>8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4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4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8</v>
      </c>
      <c r="C72" s="241">
        <f t="shared" ref="C72:L72" si="8">SUMIF(C61:C71,"&gt;0")</f>
        <v>8</v>
      </c>
      <c r="D72" s="241">
        <f t="shared" si="8"/>
        <v>5</v>
      </c>
      <c r="E72" s="241">
        <f t="shared" si="8"/>
        <v>5</v>
      </c>
      <c r="F72" s="241">
        <f t="shared" si="8"/>
        <v>5</v>
      </c>
      <c r="G72" s="241">
        <f t="shared" si="8"/>
        <v>5</v>
      </c>
      <c r="H72" s="241">
        <f t="shared" si="8"/>
        <v>5</v>
      </c>
      <c r="I72" s="241">
        <f t="shared" si="8"/>
        <v>5</v>
      </c>
      <c r="J72" s="241">
        <f t="shared" si="8"/>
        <v>5</v>
      </c>
      <c r="K72" s="241">
        <f t="shared" si="8"/>
        <v>5</v>
      </c>
      <c r="L72" s="241">
        <f t="shared" si="8"/>
        <v>5</v>
      </c>
      <c r="M72" s="241">
        <f>SUMIF(M61:M71,"&gt;0")</f>
        <v>5</v>
      </c>
      <c r="N72" s="241">
        <f t="shared" ref="N72:AF72" si="9">SUMIF(N61:N71,"&gt;0")</f>
        <v>9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20</v>
      </c>
      <c r="S72" s="241">
        <f t="shared" si="9"/>
        <v>33</v>
      </c>
      <c r="T72" s="241">
        <f t="shared" si="9"/>
        <v>32</v>
      </c>
      <c r="U72" s="241">
        <f t="shared" si="9"/>
        <v>33</v>
      </c>
      <c r="V72" s="241">
        <f t="shared" si="9"/>
        <v>23.5</v>
      </c>
      <c r="W72" s="241">
        <f t="shared" si="9"/>
        <v>21.4</v>
      </c>
      <c r="X72" s="241">
        <f t="shared" si="9"/>
        <v>24.1</v>
      </c>
      <c r="Y72" s="241">
        <f t="shared" si="9"/>
        <v>23.2</v>
      </c>
      <c r="Z72" s="241">
        <f t="shared" si="9"/>
        <v>37.6</v>
      </c>
      <c r="AA72" s="241">
        <f t="shared" si="9"/>
        <v>42.5</v>
      </c>
      <c r="AB72" s="241">
        <f t="shared" si="9"/>
        <v>50.3</v>
      </c>
      <c r="AC72" s="241">
        <f t="shared" si="9"/>
        <v>52.1</v>
      </c>
      <c r="AD72" s="241">
        <f t="shared" si="9"/>
        <v>53.3</v>
      </c>
      <c r="AE72" s="241">
        <f t="shared" si="9"/>
        <v>50.7</v>
      </c>
      <c r="AF72" s="241">
        <f t="shared" si="9"/>
        <v>5</v>
      </c>
      <c r="AG72" s="261">
        <f>SUM(AG61:AG71)</f>
        <v>0</v>
      </c>
      <c r="AH72" s="226">
        <f t="shared" si="2"/>
        <v>53.3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1593.24</v>
      </c>
      <c r="C77" s="263">
        <f t="shared" ref="C77:AF77" si="10">C38+C42+C60+C56+C72+C76</f>
        <v>1639.24</v>
      </c>
      <c r="D77" s="263">
        <f t="shared" si="10"/>
        <v>1712.24</v>
      </c>
      <c r="E77" s="263">
        <f t="shared" si="10"/>
        <v>1712.24</v>
      </c>
      <c r="F77" s="263">
        <f t="shared" si="10"/>
        <v>1640.84</v>
      </c>
      <c r="G77" s="263">
        <f t="shared" si="10"/>
        <v>1714.84</v>
      </c>
      <c r="H77" s="263">
        <f t="shared" si="10"/>
        <v>1600.54</v>
      </c>
      <c r="I77" s="263">
        <f t="shared" si="10"/>
        <v>1598.54</v>
      </c>
      <c r="J77" s="263">
        <f t="shared" si="10"/>
        <v>1646.34</v>
      </c>
      <c r="K77" s="263">
        <f t="shared" si="10"/>
        <v>1701.04</v>
      </c>
      <c r="L77" s="263">
        <f t="shared" si="10"/>
        <v>1747.84</v>
      </c>
      <c r="M77" s="263">
        <f t="shared" si="10"/>
        <v>1777.2399999999998</v>
      </c>
      <c r="N77" s="263">
        <f t="shared" si="10"/>
        <v>1753.54</v>
      </c>
      <c r="O77" s="263">
        <f t="shared" si="10"/>
        <v>1732.8400000000001</v>
      </c>
      <c r="P77" s="263">
        <f t="shared" si="10"/>
        <v>1779.0400000000002</v>
      </c>
      <c r="Q77" s="263">
        <f t="shared" si="10"/>
        <v>1784.4399999999998</v>
      </c>
      <c r="R77" s="263">
        <f t="shared" si="10"/>
        <v>1807.44</v>
      </c>
      <c r="S77" s="263">
        <f t="shared" si="10"/>
        <v>1804.6399999999999</v>
      </c>
      <c r="T77" s="263">
        <f t="shared" si="10"/>
        <v>1803.6399999999999</v>
      </c>
      <c r="U77" s="263">
        <f t="shared" si="10"/>
        <v>1809.84</v>
      </c>
      <c r="V77" s="263">
        <f t="shared" si="10"/>
        <v>1795.54</v>
      </c>
      <c r="W77" s="263">
        <f t="shared" si="10"/>
        <v>1780.3400000000001</v>
      </c>
      <c r="X77" s="263">
        <f t="shared" si="10"/>
        <v>1778.04</v>
      </c>
      <c r="Y77" s="263">
        <f t="shared" si="10"/>
        <v>1819.14</v>
      </c>
      <c r="Z77" s="263">
        <f t="shared" si="10"/>
        <v>1883.74</v>
      </c>
      <c r="AA77" s="263">
        <f t="shared" si="10"/>
        <v>1888.64</v>
      </c>
      <c r="AB77" s="263">
        <f t="shared" si="10"/>
        <v>1892.24</v>
      </c>
      <c r="AC77" s="263">
        <f t="shared" si="10"/>
        <v>1900.24</v>
      </c>
      <c r="AD77" s="263">
        <f t="shared" si="10"/>
        <v>1901.34</v>
      </c>
      <c r="AE77" s="263">
        <f t="shared" si="10"/>
        <v>1828.3400000000001</v>
      </c>
      <c r="AF77" s="263">
        <f t="shared" si="10"/>
        <v>1743.1399999999999</v>
      </c>
      <c r="AG77" s="242">
        <f>AG38+AG42+AG60+AG56+AG72+AG76</f>
        <v>1855.1900000000003</v>
      </c>
      <c r="AH77" s="226">
        <f t="shared" si="2"/>
        <v>1901.34</v>
      </c>
      <c r="AI77" s="227">
        <f t="shared" si="3"/>
        <v>1593.24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>
        <v>20</v>
      </c>
      <c r="C78" s="265">
        <v>20</v>
      </c>
      <c r="D78" s="265">
        <v>20</v>
      </c>
      <c r="E78" s="265">
        <v>20</v>
      </c>
      <c r="F78" s="265">
        <v>20</v>
      </c>
      <c r="G78" s="265">
        <v>20</v>
      </c>
      <c r="H78" s="265">
        <v>20</v>
      </c>
      <c r="I78" s="265">
        <v>20</v>
      </c>
      <c r="J78" s="265">
        <v>20</v>
      </c>
      <c r="K78" s="265">
        <v>20</v>
      </c>
      <c r="L78" s="265">
        <v>20</v>
      </c>
      <c r="M78" s="265">
        <v>20</v>
      </c>
      <c r="N78" s="265">
        <v>20</v>
      </c>
      <c r="O78" s="265">
        <v>20</v>
      </c>
      <c r="P78" s="265">
        <v>20</v>
      </c>
      <c r="Q78" s="265">
        <v>20</v>
      </c>
      <c r="R78" s="265">
        <v>20</v>
      </c>
      <c r="S78" s="265">
        <v>20</v>
      </c>
      <c r="T78" s="265">
        <v>20</v>
      </c>
      <c r="U78" s="265">
        <v>20</v>
      </c>
      <c r="V78" s="265">
        <v>20</v>
      </c>
      <c r="W78" s="265">
        <v>20</v>
      </c>
      <c r="X78" s="265">
        <v>20</v>
      </c>
      <c r="Y78" s="265">
        <v>20</v>
      </c>
      <c r="Z78" s="265">
        <v>20</v>
      </c>
      <c r="AA78" s="265">
        <v>20</v>
      </c>
      <c r="AB78" s="265">
        <v>20</v>
      </c>
      <c r="AC78" s="265">
        <v>20</v>
      </c>
      <c r="AD78" s="265">
        <v>20</v>
      </c>
      <c r="AE78" s="265">
        <v>20</v>
      </c>
      <c r="AF78" s="265">
        <v>20</v>
      </c>
      <c r="AG78" s="261"/>
      <c r="AH78" s="226">
        <f t="shared" si="2"/>
        <v>20</v>
      </c>
      <c r="AI78" s="227">
        <f t="shared" si="3"/>
        <v>20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1613.24</v>
      </c>
      <c r="C79" s="263">
        <f t="shared" ref="C79:AF79" si="11">C77+C78</f>
        <v>1659.24</v>
      </c>
      <c r="D79" s="263">
        <f t="shared" si="11"/>
        <v>1732.24</v>
      </c>
      <c r="E79" s="263">
        <f t="shared" si="11"/>
        <v>1732.24</v>
      </c>
      <c r="F79" s="263">
        <f t="shared" si="11"/>
        <v>1660.84</v>
      </c>
      <c r="G79" s="263">
        <f t="shared" si="11"/>
        <v>1734.84</v>
      </c>
      <c r="H79" s="263">
        <f t="shared" si="11"/>
        <v>1620.54</v>
      </c>
      <c r="I79" s="263">
        <f t="shared" si="11"/>
        <v>1618.54</v>
      </c>
      <c r="J79" s="263">
        <f t="shared" si="11"/>
        <v>1666.34</v>
      </c>
      <c r="K79" s="263">
        <f t="shared" si="11"/>
        <v>1721.04</v>
      </c>
      <c r="L79" s="263">
        <f t="shared" si="11"/>
        <v>1767.84</v>
      </c>
      <c r="M79" s="263">
        <f t="shared" si="11"/>
        <v>1797.2399999999998</v>
      </c>
      <c r="N79" s="263">
        <f t="shared" si="11"/>
        <v>1773.54</v>
      </c>
      <c r="O79" s="263">
        <f t="shared" si="11"/>
        <v>1752.8400000000001</v>
      </c>
      <c r="P79" s="263">
        <f t="shared" si="11"/>
        <v>1799.0400000000002</v>
      </c>
      <c r="Q79" s="263">
        <f t="shared" si="11"/>
        <v>1804.4399999999998</v>
      </c>
      <c r="R79" s="263">
        <f t="shared" si="11"/>
        <v>1827.44</v>
      </c>
      <c r="S79" s="263">
        <f t="shared" si="11"/>
        <v>1824.6399999999999</v>
      </c>
      <c r="T79" s="263">
        <f t="shared" si="11"/>
        <v>1823.6399999999999</v>
      </c>
      <c r="U79" s="263">
        <f t="shared" si="11"/>
        <v>1829.84</v>
      </c>
      <c r="V79" s="263">
        <f t="shared" si="11"/>
        <v>1815.54</v>
      </c>
      <c r="W79" s="263">
        <f t="shared" si="11"/>
        <v>1800.3400000000001</v>
      </c>
      <c r="X79" s="263">
        <f t="shared" si="11"/>
        <v>1798.04</v>
      </c>
      <c r="Y79" s="263">
        <f t="shared" si="11"/>
        <v>1839.14</v>
      </c>
      <c r="Z79" s="263">
        <f t="shared" si="11"/>
        <v>1903.74</v>
      </c>
      <c r="AA79" s="263">
        <f t="shared" si="11"/>
        <v>1908.64</v>
      </c>
      <c r="AB79" s="263">
        <f t="shared" si="11"/>
        <v>1912.24</v>
      </c>
      <c r="AC79" s="263">
        <f t="shared" si="11"/>
        <v>1920.24</v>
      </c>
      <c r="AD79" s="263">
        <f t="shared" si="11"/>
        <v>1921.34</v>
      </c>
      <c r="AE79" s="263">
        <f t="shared" si="11"/>
        <v>1848.3400000000001</v>
      </c>
      <c r="AF79" s="263">
        <f t="shared" si="11"/>
        <v>1763.1399999999999</v>
      </c>
      <c r="AG79" s="261">
        <f>AG76+AG72+AG60+AG56+AG38+AG78</f>
        <v>1317.0900000000001</v>
      </c>
      <c r="AH79" s="226">
        <f t="shared" si="2"/>
        <v>1921.34</v>
      </c>
      <c r="AI79" s="227">
        <f t="shared" si="3"/>
        <v>1613.24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1411.24</v>
      </c>
      <c r="C80" s="263">
        <f t="shared" si="12"/>
        <v>1369.24</v>
      </c>
      <c r="D80" s="263">
        <f t="shared" si="12"/>
        <v>1367.24</v>
      </c>
      <c r="E80" s="263">
        <f t="shared" si="12"/>
        <v>1372.24</v>
      </c>
      <c r="F80" s="263">
        <f t="shared" si="12"/>
        <v>1376.84</v>
      </c>
      <c r="G80" s="263">
        <f t="shared" si="12"/>
        <v>1350.84</v>
      </c>
      <c r="H80" s="263">
        <f t="shared" si="12"/>
        <v>1297.54</v>
      </c>
      <c r="I80" s="263">
        <f t="shared" si="12"/>
        <v>1261.54</v>
      </c>
      <c r="J80" s="263">
        <f t="shared" si="12"/>
        <v>1342.34</v>
      </c>
      <c r="K80" s="263">
        <f t="shared" si="12"/>
        <v>1356.04</v>
      </c>
      <c r="L80" s="263">
        <f t="shared" si="12"/>
        <v>1396.84</v>
      </c>
      <c r="M80" s="263">
        <f t="shared" si="12"/>
        <v>1402.2399999999998</v>
      </c>
      <c r="N80" s="263">
        <f t="shared" si="12"/>
        <v>1409.54</v>
      </c>
      <c r="O80" s="263">
        <f t="shared" si="12"/>
        <v>1407.8400000000001</v>
      </c>
      <c r="P80" s="263">
        <f t="shared" si="12"/>
        <v>1450.3400000000001</v>
      </c>
      <c r="Q80" s="263">
        <f t="shared" si="12"/>
        <v>1475.2399999999998</v>
      </c>
      <c r="R80" s="263">
        <f t="shared" si="12"/>
        <v>1496.94</v>
      </c>
      <c r="S80" s="263">
        <f t="shared" si="12"/>
        <v>1485.6399999999999</v>
      </c>
      <c r="T80" s="263">
        <f t="shared" si="12"/>
        <v>1524.6399999999999</v>
      </c>
      <c r="U80" s="263">
        <f t="shared" si="12"/>
        <v>1498.84</v>
      </c>
      <c r="V80" s="263">
        <f t="shared" si="12"/>
        <v>1463.54</v>
      </c>
      <c r="W80" s="263">
        <f t="shared" si="12"/>
        <v>1425.3400000000001</v>
      </c>
      <c r="X80" s="263">
        <f t="shared" si="12"/>
        <v>1473.04</v>
      </c>
      <c r="Y80" s="263">
        <f t="shared" si="12"/>
        <v>1611.14</v>
      </c>
      <c r="Z80" s="263">
        <f t="shared" si="12"/>
        <v>1671.74</v>
      </c>
      <c r="AA80" s="263">
        <f t="shared" si="12"/>
        <v>1670.64</v>
      </c>
      <c r="AB80" s="263">
        <f t="shared" si="12"/>
        <v>1632.24</v>
      </c>
      <c r="AC80" s="263">
        <f t="shared" si="12"/>
        <v>1610.3400000000001</v>
      </c>
      <c r="AD80" s="263">
        <f t="shared" si="12"/>
        <v>1604.1399999999999</v>
      </c>
      <c r="AE80" s="263">
        <f t="shared" si="12"/>
        <v>1503.3400000000001</v>
      </c>
      <c r="AF80" s="263">
        <f t="shared" si="12"/>
        <v>1448.1399999999999</v>
      </c>
      <c r="AG80" s="261"/>
      <c r="AH80" s="226">
        <f t="shared" ref="AH80:AH97" si="13">MAX(B80:AF80)</f>
        <v>1671.74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202</v>
      </c>
      <c r="C84" s="256">
        <f t="shared" ref="C84:AF84" si="18">IF(C63&lt;0,C63*-1,0)</f>
        <v>290</v>
      </c>
      <c r="D84" s="256">
        <f t="shared" si="18"/>
        <v>365</v>
      </c>
      <c r="E84" s="256">
        <f t="shared" si="18"/>
        <v>360</v>
      </c>
      <c r="F84" s="256">
        <f t="shared" si="18"/>
        <v>284</v>
      </c>
      <c r="G84" s="256">
        <f t="shared" si="18"/>
        <v>384</v>
      </c>
      <c r="H84" s="256">
        <f t="shared" si="18"/>
        <v>323</v>
      </c>
      <c r="I84" s="256">
        <f t="shared" si="18"/>
        <v>357</v>
      </c>
      <c r="J84" s="256">
        <f t="shared" si="18"/>
        <v>324</v>
      </c>
      <c r="K84" s="256">
        <f t="shared" si="18"/>
        <v>365</v>
      </c>
      <c r="L84" s="256">
        <f t="shared" si="18"/>
        <v>371</v>
      </c>
      <c r="M84" s="256">
        <f t="shared" si="18"/>
        <v>395</v>
      </c>
      <c r="N84" s="256">
        <f t="shared" si="18"/>
        <v>364</v>
      </c>
      <c r="O84" s="256">
        <f t="shared" si="18"/>
        <v>345</v>
      </c>
      <c r="P84" s="256">
        <f t="shared" si="18"/>
        <v>348.7</v>
      </c>
      <c r="Q84" s="256">
        <f t="shared" si="18"/>
        <v>329.2</v>
      </c>
      <c r="R84" s="256">
        <f t="shared" si="18"/>
        <v>330.5</v>
      </c>
      <c r="S84" s="256">
        <f t="shared" si="18"/>
        <v>339</v>
      </c>
      <c r="T84" s="256">
        <f t="shared" si="18"/>
        <v>299</v>
      </c>
      <c r="U84" s="256">
        <f t="shared" si="18"/>
        <v>331</v>
      </c>
      <c r="V84" s="256">
        <f t="shared" si="18"/>
        <v>352</v>
      </c>
      <c r="W84" s="256">
        <f t="shared" si="18"/>
        <v>375</v>
      </c>
      <c r="X84" s="256">
        <f t="shared" si="18"/>
        <v>325</v>
      </c>
      <c r="Y84" s="256">
        <f t="shared" si="18"/>
        <v>228</v>
      </c>
      <c r="Z84" s="256">
        <f t="shared" si="18"/>
        <v>232</v>
      </c>
      <c r="AA84" s="256">
        <f t="shared" si="18"/>
        <v>238</v>
      </c>
      <c r="AB84" s="256">
        <f t="shared" si="18"/>
        <v>280</v>
      </c>
      <c r="AC84" s="256">
        <f t="shared" si="18"/>
        <v>309.89999999999998</v>
      </c>
      <c r="AD84" s="256">
        <f t="shared" si="18"/>
        <v>317.2</v>
      </c>
      <c r="AE84" s="256">
        <f t="shared" si="18"/>
        <v>345</v>
      </c>
      <c r="AF84" s="256">
        <f t="shared" si="18"/>
        <v>315</v>
      </c>
      <c r="AG84" s="266"/>
      <c r="AH84" s="226">
        <f t="shared" si="13"/>
        <v>395</v>
      </c>
      <c r="AI84" s="227">
        <f t="shared" si="15"/>
        <v>202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202</v>
      </c>
      <c r="C87" s="241">
        <f t="shared" ref="C87:AF87" si="20">SUM(C81:C86)</f>
        <v>290</v>
      </c>
      <c r="D87" s="241">
        <f t="shared" si="20"/>
        <v>365</v>
      </c>
      <c r="E87" s="241">
        <f t="shared" si="20"/>
        <v>360</v>
      </c>
      <c r="F87" s="241">
        <f t="shared" si="20"/>
        <v>284</v>
      </c>
      <c r="G87" s="241">
        <f t="shared" si="20"/>
        <v>384</v>
      </c>
      <c r="H87" s="241">
        <f t="shared" si="20"/>
        <v>323</v>
      </c>
      <c r="I87" s="241">
        <f t="shared" si="20"/>
        <v>357</v>
      </c>
      <c r="J87" s="241">
        <f t="shared" si="20"/>
        <v>324</v>
      </c>
      <c r="K87" s="241">
        <f t="shared" si="20"/>
        <v>365</v>
      </c>
      <c r="L87" s="241">
        <f t="shared" si="20"/>
        <v>371</v>
      </c>
      <c r="M87" s="241">
        <f t="shared" si="20"/>
        <v>395</v>
      </c>
      <c r="N87" s="241">
        <f t="shared" si="20"/>
        <v>364</v>
      </c>
      <c r="O87" s="241">
        <f t="shared" si="20"/>
        <v>345</v>
      </c>
      <c r="P87" s="241">
        <f t="shared" si="20"/>
        <v>348.7</v>
      </c>
      <c r="Q87" s="241">
        <f t="shared" si="20"/>
        <v>329.2</v>
      </c>
      <c r="R87" s="241">
        <f t="shared" si="20"/>
        <v>330.5</v>
      </c>
      <c r="S87" s="241">
        <f t="shared" si="20"/>
        <v>339</v>
      </c>
      <c r="T87" s="241">
        <f t="shared" si="20"/>
        <v>299</v>
      </c>
      <c r="U87" s="241">
        <f t="shared" si="20"/>
        <v>331</v>
      </c>
      <c r="V87" s="241">
        <f t="shared" si="20"/>
        <v>352</v>
      </c>
      <c r="W87" s="241">
        <f t="shared" si="20"/>
        <v>375</v>
      </c>
      <c r="X87" s="241">
        <f t="shared" si="20"/>
        <v>325</v>
      </c>
      <c r="Y87" s="241">
        <f t="shared" si="20"/>
        <v>228</v>
      </c>
      <c r="Z87" s="241">
        <f t="shared" si="20"/>
        <v>232</v>
      </c>
      <c r="AA87" s="241">
        <f t="shared" si="20"/>
        <v>238</v>
      </c>
      <c r="AB87" s="241">
        <f t="shared" si="20"/>
        <v>280</v>
      </c>
      <c r="AC87" s="241">
        <f t="shared" si="20"/>
        <v>309.89999999999998</v>
      </c>
      <c r="AD87" s="241">
        <f t="shared" si="20"/>
        <v>317.2</v>
      </c>
      <c r="AE87" s="241">
        <f t="shared" si="20"/>
        <v>345</v>
      </c>
      <c r="AF87" s="241">
        <f t="shared" si="20"/>
        <v>315</v>
      </c>
      <c r="AG87" s="261"/>
      <c r="AH87" s="226">
        <f t="shared" si="13"/>
        <v>395</v>
      </c>
      <c r="AI87" s="227">
        <f t="shared" si="15"/>
        <v>202</v>
      </c>
      <c r="AK87" s="228"/>
    </row>
    <row r="88" spans="1:88" s="175" customFormat="1" ht="15.75" thickBot="1" x14ac:dyDescent="0.3">
      <c r="A88" s="254" t="s">
        <v>93</v>
      </c>
      <c r="B88" s="241">
        <f>B72-B87</f>
        <v>-194</v>
      </c>
      <c r="C88" s="241">
        <f t="shared" ref="C88:AF88" si="21">C72-C87</f>
        <v>-282</v>
      </c>
      <c r="D88" s="241">
        <f t="shared" si="21"/>
        <v>-360</v>
      </c>
      <c r="E88" s="241">
        <f t="shared" si="21"/>
        <v>-355</v>
      </c>
      <c r="F88" s="241">
        <f t="shared" si="21"/>
        <v>-279</v>
      </c>
      <c r="G88" s="241">
        <f t="shared" si="21"/>
        <v>-379</v>
      </c>
      <c r="H88" s="241">
        <f t="shared" si="21"/>
        <v>-318</v>
      </c>
      <c r="I88" s="241">
        <f t="shared" si="21"/>
        <v>-352</v>
      </c>
      <c r="J88" s="241">
        <f t="shared" si="21"/>
        <v>-319</v>
      </c>
      <c r="K88" s="241">
        <f t="shared" si="21"/>
        <v>-360</v>
      </c>
      <c r="L88" s="241">
        <f t="shared" si="21"/>
        <v>-366</v>
      </c>
      <c r="M88" s="241">
        <f t="shared" si="21"/>
        <v>-390</v>
      </c>
      <c r="N88" s="241">
        <f t="shared" si="21"/>
        <v>-355</v>
      </c>
      <c r="O88" s="241">
        <f t="shared" si="21"/>
        <v>-345</v>
      </c>
      <c r="P88" s="241">
        <f t="shared" si="21"/>
        <v>-348.7</v>
      </c>
      <c r="Q88" s="241">
        <f t="shared" si="21"/>
        <v>-329.2</v>
      </c>
      <c r="R88" s="241">
        <f t="shared" si="21"/>
        <v>-310.5</v>
      </c>
      <c r="S88" s="241">
        <f t="shared" si="21"/>
        <v>-306</v>
      </c>
      <c r="T88" s="241">
        <f t="shared" si="21"/>
        <v>-267</v>
      </c>
      <c r="U88" s="241">
        <f t="shared" si="21"/>
        <v>-298</v>
      </c>
      <c r="V88" s="241">
        <f t="shared" si="21"/>
        <v>-328.5</v>
      </c>
      <c r="W88" s="241">
        <f t="shared" si="21"/>
        <v>-353.6</v>
      </c>
      <c r="X88" s="241">
        <f t="shared" si="21"/>
        <v>-300.89999999999998</v>
      </c>
      <c r="Y88" s="241">
        <f t="shared" si="21"/>
        <v>-204.8</v>
      </c>
      <c r="Z88" s="241">
        <f t="shared" si="21"/>
        <v>-194.4</v>
      </c>
      <c r="AA88" s="241">
        <f t="shared" si="21"/>
        <v>-195.5</v>
      </c>
      <c r="AB88" s="241">
        <f t="shared" si="21"/>
        <v>-229.7</v>
      </c>
      <c r="AC88" s="241">
        <f t="shared" si="21"/>
        <v>-257.79999999999995</v>
      </c>
      <c r="AD88" s="241">
        <f t="shared" si="21"/>
        <v>-263.89999999999998</v>
      </c>
      <c r="AE88" s="241">
        <f t="shared" si="21"/>
        <v>-294.3</v>
      </c>
      <c r="AF88" s="241">
        <f t="shared" si="21"/>
        <v>-310</v>
      </c>
      <c r="AG88" s="261"/>
      <c r="AH88" s="226">
        <f t="shared" si="13"/>
        <v>-194</v>
      </c>
      <c r="AI88" s="227">
        <f t="shared" si="15"/>
        <v>-390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50.01</v>
      </c>
      <c r="C89" s="269">
        <v>49.98</v>
      </c>
      <c r="D89" s="269">
        <v>50</v>
      </c>
      <c r="E89" s="269">
        <v>50.021000000000001</v>
      </c>
      <c r="F89" s="269">
        <v>50.009</v>
      </c>
      <c r="G89" s="269">
        <v>50.091000000000001</v>
      </c>
      <c r="H89" s="269">
        <v>50.091000000000001</v>
      </c>
      <c r="I89" s="269">
        <v>49.97</v>
      </c>
      <c r="J89" s="269">
        <v>49.686999999999998</v>
      </c>
      <c r="K89" s="269">
        <v>49.875999999999998</v>
      </c>
      <c r="L89" s="269">
        <v>49.898000000000003</v>
      </c>
      <c r="M89" s="269">
        <v>49.95</v>
      </c>
      <c r="N89" s="269">
        <v>50.045999999999999</v>
      </c>
      <c r="O89" s="269">
        <v>50.073</v>
      </c>
      <c r="P89" s="269">
        <v>49.981000000000002</v>
      </c>
      <c r="Q89" s="269">
        <v>49.91</v>
      </c>
      <c r="R89" s="269">
        <v>50.006999999999998</v>
      </c>
      <c r="S89" s="269">
        <v>50.015000000000001</v>
      </c>
      <c r="T89" s="269">
        <v>49.972000000000001</v>
      </c>
      <c r="U89" s="269">
        <v>49.987000000000002</v>
      </c>
      <c r="V89" s="269">
        <v>49.969000000000001</v>
      </c>
      <c r="W89" s="269">
        <v>49.993000000000002</v>
      </c>
      <c r="X89" s="269">
        <v>49.948999999999998</v>
      </c>
      <c r="Y89" s="269">
        <v>50.01</v>
      </c>
      <c r="Z89" s="269">
        <v>49.856000000000002</v>
      </c>
      <c r="AA89" s="269">
        <v>50.027000000000001</v>
      </c>
      <c r="AB89" s="269">
        <v>49.97</v>
      </c>
      <c r="AC89" s="269">
        <v>49.97</v>
      </c>
      <c r="AD89" s="269">
        <v>49.98</v>
      </c>
      <c r="AE89" s="269">
        <v>50</v>
      </c>
      <c r="AF89" s="269">
        <v>49.95</v>
      </c>
      <c r="AG89" s="270"/>
      <c r="AH89" s="226">
        <f t="shared" si="13"/>
        <v>50.091000000000001</v>
      </c>
      <c r="AI89" s="227">
        <f t="shared" si="15"/>
        <v>49.686999999999998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125</v>
      </c>
      <c r="C90" s="245">
        <v>123.4</v>
      </c>
      <c r="D90" s="245">
        <v>124</v>
      </c>
      <c r="E90" s="245">
        <v>124</v>
      </c>
      <c r="F90" s="245">
        <v>124</v>
      </c>
      <c r="G90" s="245">
        <v>125</v>
      </c>
      <c r="H90" s="245">
        <v>125</v>
      </c>
      <c r="I90" s="245">
        <v>125</v>
      </c>
      <c r="J90" s="245">
        <v>125</v>
      </c>
      <c r="K90" s="245">
        <v>124</v>
      </c>
      <c r="L90" s="245">
        <v>123</v>
      </c>
      <c r="M90" s="245">
        <v>123</v>
      </c>
      <c r="N90" s="245">
        <v>122.4</v>
      </c>
      <c r="O90" s="245">
        <v>123.7</v>
      </c>
      <c r="P90" s="245">
        <v>125</v>
      </c>
      <c r="Q90" s="245">
        <v>124.1</v>
      </c>
      <c r="R90" s="245">
        <v>123.7</v>
      </c>
      <c r="S90" s="245">
        <v>124</v>
      </c>
      <c r="T90" s="245">
        <v>122.5</v>
      </c>
      <c r="U90" s="245">
        <v>123.7</v>
      </c>
      <c r="V90" s="245">
        <v>123</v>
      </c>
      <c r="W90" s="245">
        <v>124</v>
      </c>
      <c r="X90" s="245">
        <v>125</v>
      </c>
      <c r="Y90" s="245">
        <v>124.7</v>
      </c>
      <c r="Z90" s="245">
        <v>126.6</v>
      </c>
      <c r="AA90" s="245">
        <v>127</v>
      </c>
      <c r="AB90" s="245">
        <v>125.5</v>
      </c>
      <c r="AC90" s="245">
        <v>125.5</v>
      </c>
      <c r="AD90" s="245">
        <v>126</v>
      </c>
      <c r="AE90" s="245">
        <v>124.9</v>
      </c>
      <c r="AF90" s="245">
        <v>123.2</v>
      </c>
      <c r="AG90" s="272"/>
      <c r="AH90" s="226">
        <f t="shared" si="13"/>
        <v>127</v>
      </c>
      <c r="AI90" s="227">
        <f t="shared" si="15"/>
        <v>122.4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130</v>
      </c>
      <c r="C91" s="245">
        <v>129</v>
      </c>
      <c r="D91" s="245">
        <v>129</v>
      </c>
      <c r="E91" s="245">
        <v>129</v>
      </c>
      <c r="F91" s="245">
        <v>129</v>
      </c>
      <c r="G91" s="245">
        <v>129</v>
      </c>
      <c r="H91" s="245">
        <v>129</v>
      </c>
      <c r="I91" s="245">
        <v>129</v>
      </c>
      <c r="J91" s="245">
        <v>129</v>
      </c>
      <c r="K91" s="245">
        <v>128</v>
      </c>
      <c r="L91" s="245">
        <v>127</v>
      </c>
      <c r="M91" s="245">
        <v>126.5</v>
      </c>
      <c r="N91" s="245">
        <v>126.3</v>
      </c>
      <c r="O91" s="245">
        <v>127</v>
      </c>
      <c r="P91" s="245">
        <v>128</v>
      </c>
      <c r="Q91" s="245">
        <v>127.5</v>
      </c>
      <c r="R91" s="245">
        <v>127.3</v>
      </c>
      <c r="S91" s="245">
        <v>128</v>
      </c>
      <c r="T91" s="245">
        <v>126.2</v>
      </c>
      <c r="U91" s="245">
        <v>127.3</v>
      </c>
      <c r="V91" s="245">
        <v>127.2</v>
      </c>
      <c r="W91" s="245">
        <v>127.7</v>
      </c>
      <c r="X91" s="245">
        <v>128.30000000000001</v>
      </c>
      <c r="Y91" s="245">
        <v>128.1</v>
      </c>
      <c r="Z91" s="245">
        <v>130</v>
      </c>
      <c r="AA91" s="245">
        <v>130</v>
      </c>
      <c r="AB91" s="245">
        <v>128.80000000000001</v>
      </c>
      <c r="AC91" s="245">
        <v>128.80000000000001</v>
      </c>
      <c r="AD91" s="245">
        <v>129.6</v>
      </c>
      <c r="AE91" s="245">
        <v>129.5</v>
      </c>
      <c r="AF91" s="245">
        <v>128.19999999999999</v>
      </c>
      <c r="AG91" s="272"/>
      <c r="AH91" s="226">
        <f t="shared" si="13"/>
        <v>130</v>
      </c>
      <c r="AI91" s="227">
        <f t="shared" si="15"/>
        <v>126.2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132</v>
      </c>
      <c r="C92" s="245">
        <v>131</v>
      </c>
      <c r="D92" s="245">
        <v>131</v>
      </c>
      <c r="E92" s="245">
        <v>131</v>
      </c>
      <c r="F92" s="245">
        <v>131</v>
      </c>
      <c r="G92" s="245">
        <v>131</v>
      </c>
      <c r="H92" s="245">
        <v>131</v>
      </c>
      <c r="I92" s="245">
        <v>131</v>
      </c>
      <c r="J92" s="245">
        <v>131</v>
      </c>
      <c r="K92" s="245">
        <v>128</v>
      </c>
      <c r="L92" s="245">
        <v>129</v>
      </c>
      <c r="M92" s="245">
        <v>129.19999999999999</v>
      </c>
      <c r="N92" s="245">
        <v>129.69999999999999</v>
      </c>
      <c r="O92" s="245">
        <v>1294</v>
      </c>
      <c r="P92" s="245">
        <v>129.19999999999999</v>
      </c>
      <c r="Q92" s="245">
        <v>130.4</v>
      </c>
      <c r="R92" s="245">
        <v>128.19999999999999</v>
      </c>
      <c r="S92" s="245">
        <v>128</v>
      </c>
      <c r="T92" s="245">
        <v>128.5</v>
      </c>
      <c r="U92" s="245">
        <v>129.6</v>
      </c>
      <c r="V92" s="245">
        <v>130.6</v>
      </c>
      <c r="W92" s="245">
        <v>130.69999999999999</v>
      </c>
      <c r="X92" s="245">
        <v>131.19999999999999</v>
      </c>
      <c r="Y92" s="245">
        <v>125.6</v>
      </c>
      <c r="Z92" s="245">
        <v>130</v>
      </c>
      <c r="AA92" s="245">
        <v>129.30000000000001</v>
      </c>
      <c r="AB92" s="245">
        <v>129.6</v>
      </c>
      <c r="AC92" s="245">
        <v>129.6</v>
      </c>
      <c r="AD92" s="245">
        <v>130.19999999999999</v>
      </c>
      <c r="AE92" s="245">
        <v>130.69999999999999</v>
      </c>
      <c r="AF92" s="245">
        <v>130.69999999999999</v>
      </c>
      <c r="AG92" s="272"/>
      <c r="AH92" s="226">
        <f t="shared" si="13"/>
        <v>1294</v>
      </c>
      <c r="AI92" s="227">
        <f t="shared" si="15"/>
        <v>125.6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135</v>
      </c>
      <c r="C93" s="245">
        <v>132</v>
      </c>
      <c r="D93" s="245">
        <v>132</v>
      </c>
      <c r="E93" s="245">
        <v>132</v>
      </c>
      <c r="F93" s="245">
        <v>134</v>
      </c>
      <c r="G93" s="245">
        <v>134</v>
      </c>
      <c r="H93" s="245">
        <v>134</v>
      </c>
      <c r="I93" s="245">
        <v>134</v>
      </c>
      <c r="J93" s="245">
        <v>134</v>
      </c>
      <c r="K93" s="245">
        <v>131</v>
      </c>
      <c r="L93" s="245">
        <v>132</v>
      </c>
      <c r="M93" s="245">
        <v>131.19999999999999</v>
      </c>
      <c r="N93" s="245">
        <v>131.1</v>
      </c>
      <c r="O93" s="245">
        <v>131.9</v>
      </c>
      <c r="P93" s="245">
        <v>131.19999999999999</v>
      </c>
      <c r="Q93" s="245">
        <v>133.1</v>
      </c>
      <c r="R93" s="245">
        <v>131.30000000000001</v>
      </c>
      <c r="S93" s="245">
        <v>131</v>
      </c>
      <c r="T93" s="245">
        <v>132</v>
      </c>
      <c r="U93" s="245">
        <v>133.30000000000001</v>
      </c>
      <c r="V93" s="245">
        <v>134</v>
      </c>
      <c r="W93" s="245">
        <v>134</v>
      </c>
      <c r="X93" s="245">
        <v>134</v>
      </c>
      <c r="Y93" s="245">
        <v>129.19999999999999</v>
      </c>
      <c r="Z93" s="245">
        <v>133.19999999999999</v>
      </c>
      <c r="AA93" s="245">
        <v>133</v>
      </c>
      <c r="AB93" s="245">
        <v>133</v>
      </c>
      <c r="AC93" s="245">
        <v>133</v>
      </c>
      <c r="AD93" s="245">
        <v>133.6</v>
      </c>
      <c r="AE93" s="245">
        <v>132.80000000000001</v>
      </c>
      <c r="AF93" s="245">
        <v>133.19999999999999</v>
      </c>
      <c r="AG93" s="272"/>
      <c r="AH93" s="226">
        <f t="shared" si="13"/>
        <v>135</v>
      </c>
      <c r="AI93" s="227">
        <f t="shared" si="15"/>
        <v>129.19999999999999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134</v>
      </c>
      <c r="C94" s="274">
        <v>31</v>
      </c>
      <c r="D94" s="274">
        <v>31</v>
      </c>
      <c r="E94" s="274">
        <v>31</v>
      </c>
      <c r="F94" s="274">
        <v>132</v>
      </c>
      <c r="G94" s="274">
        <v>132</v>
      </c>
      <c r="H94" s="274">
        <v>132</v>
      </c>
      <c r="I94" s="274">
        <v>132</v>
      </c>
      <c r="J94" s="274">
        <v>132</v>
      </c>
      <c r="K94" s="274">
        <v>132</v>
      </c>
      <c r="L94" s="274">
        <v>132</v>
      </c>
      <c r="M94" s="274">
        <v>131.6</v>
      </c>
      <c r="N94" s="274">
        <v>131.6</v>
      </c>
      <c r="O94" s="274">
        <v>133.69999999999999</v>
      </c>
      <c r="P94" s="274">
        <v>136</v>
      </c>
      <c r="Q94" s="274">
        <v>136</v>
      </c>
      <c r="R94" s="274">
        <v>137.30000000000001</v>
      </c>
      <c r="S94" s="274">
        <v>134</v>
      </c>
      <c r="T94" s="274">
        <v>133</v>
      </c>
      <c r="U94" s="274">
        <v>134.4</v>
      </c>
      <c r="V94" s="274">
        <v>133.6</v>
      </c>
      <c r="W94" s="274">
        <v>133.6</v>
      </c>
      <c r="X94" s="274">
        <v>135.19999999999999</v>
      </c>
      <c r="Y94" s="274">
        <v>131.80000000000001</v>
      </c>
      <c r="Z94" s="274">
        <v>133.1</v>
      </c>
      <c r="AA94" s="274">
        <v>136.1</v>
      </c>
      <c r="AB94" s="274">
        <v>129.4</v>
      </c>
      <c r="AC94" s="274">
        <v>129.4</v>
      </c>
      <c r="AD94" s="274">
        <v>134</v>
      </c>
      <c r="AE94" s="274">
        <v>134.19999999999999</v>
      </c>
      <c r="AF94" s="274">
        <v>131.6</v>
      </c>
      <c r="AG94" s="275"/>
      <c r="AH94" s="226">
        <f t="shared" si="13"/>
        <v>137.30000000000001</v>
      </c>
      <c r="AI94" s="227">
        <f t="shared" si="15"/>
        <v>31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132</v>
      </c>
      <c r="C95" s="245">
        <v>127</v>
      </c>
      <c r="D95" s="245">
        <v>127</v>
      </c>
      <c r="E95" s="245">
        <v>127</v>
      </c>
      <c r="F95" s="245">
        <v>128</v>
      </c>
      <c r="G95" s="245">
        <v>128</v>
      </c>
      <c r="H95" s="245">
        <v>128</v>
      </c>
      <c r="I95" s="245">
        <v>128</v>
      </c>
      <c r="J95" s="245">
        <v>128</v>
      </c>
      <c r="K95" s="245">
        <v>130</v>
      </c>
      <c r="L95" s="245">
        <v>127</v>
      </c>
      <c r="M95" s="245">
        <v>127.3</v>
      </c>
      <c r="N95" s="245">
        <v>127.9</v>
      </c>
      <c r="O95" s="245">
        <v>127.9</v>
      </c>
      <c r="P95" s="245">
        <v>132.9</v>
      </c>
      <c r="Q95" s="245">
        <v>134.5</v>
      </c>
      <c r="R95" s="245">
        <v>133</v>
      </c>
      <c r="S95" s="245">
        <v>135</v>
      </c>
      <c r="T95" s="245">
        <v>132.6</v>
      </c>
      <c r="U95" s="245">
        <v>132.30000000000001</v>
      </c>
      <c r="V95" s="245">
        <v>131.30000000000001</v>
      </c>
      <c r="W95" s="245">
        <v>132.30000000000001</v>
      </c>
      <c r="X95" s="245">
        <v>136</v>
      </c>
      <c r="Y95" s="245">
        <v>131.1</v>
      </c>
      <c r="Z95" s="245">
        <v>132.30000000000001</v>
      </c>
      <c r="AA95" s="245">
        <v>135.4</v>
      </c>
      <c r="AB95" s="245">
        <v>127</v>
      </c>
      <c r="AC95" s="245">
        <v>127</v>
      </c>
      <c r="AD95" s="245">
        <v>134.69999999999999</v>
      </c>
      <c r="AE95" s="245">
        <v>134.80000000000001</v>
      </c>
      <c r="AF95" s="245">
        <v>127.4</v>
      </c>
      <c r="AG95" s="272"/>
      <c r="AH95" s="226">
        <f t="shared" si="13"/>
        <v>136</v>
      </c>
      <c r="AI95" s="227">
        <f t="shared" si="15"/>
        <v>127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65.400000000000006</v>
      </c>
      <c r="C96" s="276">
        <v>65</v>
      </c>
      <c r="D96" s="276">
        <v>65</v>
      </c>
      <c r="E96" s="276">
        <v>65</v>
      </c>
      <c r="F96" s="276">
        <v>65</v>
      </c>
      <c r="G96" s="276">
        <v>65</v>
      </c>
      <c r="H96" s="276">
        <v>65</v>
      </c>
      <c r="I96" s="276">
        <v>65</v>
      </c>
      <c r="J96" s="276">
        <v>65</v>
      </c>
      <c r="K96" s="276">
        <v>65</v>
      </c>
      <c r="L96" s="276">
        <v>64</v>
      </c>
      <c r="M96" s="276">
        <v>63.9</v>
      </c>
      <c r="N96" s="276">
        <v>63.7</v>
      </c>
      <c r="O96" s="276">
        <v>63.7</v>
      </c>
      <c r="P96" s="276">
        <v>64.400000000000006</v>
      </c>
      <c r="Q96" s="276">
        <v>64.099999999999994</v>
      </c>
      <c r="R96" s="276">
        <v>64.099999999999994</v>
      </c>
      <c r="S96" s="276">
        <v>64</v>
      </c>
      <c r="T96" s="276">
        <v>63.6</v>
      </c>
      <c r="U96" s="276">
        <v>64.2</v>
      </c>
      <c r="V96" s="276">
        <v>64.2</v>
      </c>
      <c r="W96" s="276">
        <v>64.3</v>
      </c>
      <c r="X96" s="276">
        <v>64.599999999999994</v>
      </c>
      <c r="Y96" s="276">
        <v>64.400000000000006</v>
      </c>
      <c r="Z96" s="276">
        <v>65.400000000000006</v>
      </c>
      <c r="AA96" s="276">
        <v>65.8</v>
      </c>
      <c r="AB96" s="276">
        <v>64.900000000000006</v>
      </c>
      <c r="AC96" s="276">
        <v>64.900000000000006</v>
      </c>
      <c r="AD96" s="276">
        <v>65.400000000000006</v>
      </c>
      <c r="AE96" s="276">
        <v>65.5</v>
      </c>
      <c r="AF96" s="276">
        <v>64.8</v>
      </c>
      <c r="AG96" s="277"/>
      <c r="AH96" s="226">
        <f t="shared" si="13"/>
        <v>65.8</v>
      </c>
      <c r="AI96" s="227">
        <f t="shared" si="15"/>
        <v>63.6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SUM(B15,B18,B21:B22,B46,B48:B49,B51,B53,B99:B102,B124,B130,B136,B145,B147,B159,B166,B169:B170,B177,B179,B181,B185:B187,B189:B191,B196,B202:B203,B205:B207,B215,B220)</f>
        <v>62.900000000000006</v>
      </c>
      <c r="C98" s="280">
        <f t="shared" si="22"/>
        <v>36.840000000000003</v>
      </c>
      <c r="D98" s="280">
        <f t="shared" si="22"/>
        <v>38.840000000000003</v>
      </c>
      <c r="E98" s="280">
        <f t="shared" si="22"/>
        <v>38.840000000000003</v>
      </c>
      <c r="F98" s="280">
        <f t="shared" si="22"/>
        <v>28.44</v>
      </c>
      <c r="G98" s="280">
        <f t="shared" si="22"/>
        <v>43.44</v>
      </c>
      <c r="H98" s="280">
        <f t="shared" si="22"/>
        <v>79.44</v>
      </c>
      <c r="I98" s="280">
        <f t="shared" si="22"/>
        <v>52.44</v>
      </c>
      <c r="J98" s="280">
        <f t="shared" si="22"/>
        <v>166.44</v>
      </c>
      <c r="K98" s="280">
        <f t="shared" si="22"/>
        <v>173.44</v>
      </c>
      <c r="L98" s="280">
        <f t="shared" si="22"/>
        <v>199.94</v>
      </c>
      <c r="M98" s="280">
        <f t="shared" si="22"/>
        <v>149.74</v>
      </c>
      <c r="N98" s="280">
        <f t="shared" si="22"/>
        <v>162.84</v>
      </c>
      <c r="O98" s="280">
        <f t="shared" si="22"/>
        <v>168.44000000000003</v>
      </c>
      <c r="P98" s="280">
        <f t="shared" si="22"/>
        <v>171.04000000000002</v>
      </c>
      <c r="Q98" s="280">
        <f t="shared" si="22"/>
        <v>212.6</v>
      </c>
      <c r="R98" s="280">
        <f t="shared" si="22"/>
        <v>204.8</v>
      </c>
      <c r="S98" s="280">
        <f t="shared" si="22"/>
        <v>145.30000000000001</v>
      </c>
      <c r="T98" s="280">
        <f t="shared" si="22"/>
        <v>157.69999999999999</v>
      </c>
      <c r="U98" s="280">
        <f t="shared" si="22"/>
        <v>147.4</v>
      </c>
      <c r="V98" s="280">
        <f t="shared" si="22"/>
        <v>147.90000000000003</v>
      </c>
      <c r="W98" s="280">
        <f t="shared" si="22"/>
        <v>152.80000000000001</v>
      </c>
      <c r="X98" s="280">
        <f t="shared" si="22"/>
        <v>171.70000000000005</v>
      </c>
      <c r="Y98" s="280">
        <f t="shared" si="22"/>
        <v>213.3</v>
      </c>
      <c r="Z98" s="280">
        <f t="shared" si="22"/>
        <v>222.8</v>
      </c>
      <c r="AA98" s="280">
        <f t="shared" si="22"/>
        <v>216.8</v>
      </c>
      <c r="AB98" s="280">
        <f t="shared" si="22"/>
        <v>220.79999999999998</v>
      </c>
      <c r="AC98" s="280">
        <f t="shared" si="22"/>
        <v>183.39999999999998</v>
      </c>
      <c r="AD98" s="280">
        <f t="shared" si="22"/>
        <v>180.10000000000002</v>
      </c>
      <c r="AE98" s="280">
        <f t="shared" si="22"/>
        <v>122.9</v>
      </c>
      <c r="AF98" s="280">
        <f t="shared" si="22"/>
        <v>78.000000000000028</v>
      </c>
      <c r="AG98" s="281"/>
      <c r="AH98" s="226">
        <f>MAX(C98:AF98)</f>
        <v>222.8</v>
      </c>
      <c r="AI98" s="227">
        <f>MIN(C98:AF98)</f>
        <v>28.44</v>
      </c>
    </row>
    <row r="99" spans="1:37" x14ac:dyDescent="0.25">
      <c r="A99" s="268" t="s">
        <v>103</v>
      </c>
      <c r="B99" s="282">
        <v>48</v>
      </c>
      <c r="C99" s="282">
        <v>42</v>
      </c>
      <c r="D99" s="282">
        <v>40</v>
      </c>
      <c r="E99" s="282">
        <v>40</v>
      </c>
      <c r="F99" s="282">
        <v>40</v>
      </c>
      <c r="G99" s="282">
        <v>54</v>
      </c>
      <c r="H99" s="282">
        <v>56</v>
      </c>
      <c r="I99" s="282">
        <f>26+46</f>
        <v>72</v>
      </c>
      <c r="J99" s="282">
        <v>99</v>
      </c>
      <c r="K99" s="282">
        <v>95</v>
      </c>
      <c r="L99" s="282">
        <v>93</v>
      </c>
      <c r="M99" s="282">
        <v>40</v>
      </c>
      <c r="N99" s="282">
        <v>38.4</v>
      </c>
      <c r="O99" s="282">
        <v>35.700000000000003</v>
      </c>
      <c r="P99" s="282">
        <v>28.4</v>
      </c>
      <c r="Q99" s="282">
        <f>49.2+28.1</f>
        <v>77.300000000000011</v>
      </c>
      <c r="R99" s="282">
        <f>27+48</f>
        <v>75</v>
      </c>
      <c r="S99" s="282">
        <v>33.299999999999997</v>
      </c>
      <c r="T99" s="282">
        <v>27.8</v>
      </c>
      <c r="U99" s="282">
        <v>30.3</v>
      </c>
      <c r="V99" s="282">
        <v>33.200000000000003</v>
      </c>
      <c r="W99" s="282">
        <v>35</v>
      </c>
      <c r="X99" s="282">
        <v>33.200000000000003</v>
      </c>
      <c r="Y99" s="282">
        <v>26.1</v>
      </c>
      <c r="Z99" s="282">
        <v>23.4</v>
      </c>
      <c r="AA99" s="282">
        <v>18.899999999999999</v>
      </c>
      <c r="AB99" s="282">
        <f>40.1+25</f>
        <v>65.099999999999994</v>
      </c>
      <c r="AC99" s="282">
        <v>64</v>
      </c>
      <c r="AD99" s="282">
        <f>39.9+23.5</f>
        <v>63.4</v>
      </c>
      <c r="AE99" s="282">
        <f>44.7+25.8</f>
        <v>70.5</v>
      </c>
      <c r="AF99" s="282">
        <f>31.7+13</f>
        <v>44.7</v>
      </c>
      <c r="AG99" s="283">
        <v>75</v>
      </c>
      <c r="AH99" s="226">
        <f t="shared" ref="AH99:AH106" si="23">IF(ABS(MAX(C99:AF99))&gt;ABS(MIN(C99:AF99)),MAX(C99:AF99),MIN(C99:AF99))</f>
        <v>99</v>
      </c>
      <c r="AI99" s="284">
        <f t="shared" ref="AI99:AI106" si="24">INDEX($C$9:$AF$9,1,MATCH(AH99,C99:AF99,0))</f>
        <v>0.27083333333333331</v>
      </c>
    </row>
    <row r="100" spans="1:37" x14ac:dyDescent="0.25">
      <c r="A100" s="271" t="s">
        <v>104</v>
      </c>
      <c r="B100" s="285">
        <v>-150</v>
      </c>
      <c r="C100" s="285">
        <v>-153</v>
      </c>
      <c r="D100" s="285">
        <v>-150</v>
      </c>
      <c r="E100" s="285">
        <v>-150</v>
      </c>
      <c r="F100" s="285">
        <v>-155</v>
      </c>
      <c r="G100" s="285">
        <v>-155</v>
      </c>
      <c r="H100" s="285">
        <v>-120</v>
      </c>
      <c r="I100" s="285">
        <v>-172</v>
      </c>
      <c r="J100" s="285">
        <v>-108</v>
      </c>
      <c r="K100" s="285">
        <v>-116</v>
      </c>
      <c r="L100" s="285">
        <v>-81</v>
      </c>
      <c r="M100" s="285">
        <v>-87.2</v>
      </c>
      <c r="N100" s="285">
        <v>-78.900000000000006</v>
      </c>
      <c r="O100" s="285">
        <v>-71.599999999999994</v>
      </c>
      <c r="P100" s="285">
        <v>-81.2</v>
      </c>
      <c r="Q100" s="285">
        <f>-36-43.8</f>
        <v>-79.8</v>
      </c>
      <c r="R100" s="285">
        <f>-38.3-45.8</f>
        <v>-84.1</v>
      </c>
      <c r="S100" s="285">
        <f>-43-51</f>
        <v>-94</v>
      </c>
      <c r="T100" s="285">
        <f>-36.7-42.1</f>
        <v>-78.800000000000011</v>
      </c>
      <c r="U100" s="285">
        <f>-38.6-43.5</f>
        <v>-82.1</v>
      </c>
      <c r="V100" s="285">
        <f>-43-46</f>
        <v>-89</v>
      </c>
      <c r="W100" s="285">
        <f>-39-43.6</f>
        <v>-82.6</v>
      </c>
      <c r="X100" s="285">
        <f>-30.7-33</f>
        <v>-63.7</v>
      </c>
      <c r="Y100" s="285">
        <f>-39-44</f>
        <v>-83</v>
      </c>
      <c r="Z100" s="285">
        <f>-32-44</f>
        <v>-76</v>
      </c>
      <c r="AA100" s="285">
        <f>-33.3-45.9</f>
        <v>-79.199999999999989</v>
      </c>
      <c r="AB100" s="285">
        <f>-45.2-54.9</f>
        <v>-100.1</v>
      </c>
      <c r="AC100" s="285">
        <v>-102</v>
      </c>
      <c r="AD100" s="285">
        <f>-46.2-59.6</f>
        <v>-105.80000000000001</v>
      </c>
      <c r="AE100" s="285">
        <f>-66-72.8</f>
        <v>-138.80000000000001</v>
      </c>
      <c r="AF100" s="285">
        <f>-71.7-74.8</f>
        <v>-146.5</v>
      </c>
      <c r="AG100" s="283">
        <v>240</v>
      </c>
      <c r="AH100" s="226">
        <f t="shared" si="23"/>
        <v>-172</v>
      </c>
      <c r="AI100" s="284">
        <f t="shared" si="24"/>
        <v>0.25</v>
      </c>
    </row>
    <row r="101" spans="1:37" x14ac:dyDescent="0.25">
      <c r="A101" s="271" t="s">
        <v>105</v>
      </c>
      <c r="B101" s="285">
        <v>-5</v>
      </c>
      <c r="C101" s="285">
        <v>-8</v>
      </c>
      <c r="D101" s="285">
        <v>-7</v>
      </c>
      <c r="E101" s="285">
        <v>-7</v>
      </c>
      <c r="F101" s="285">
        <v>-8</v>
      </c>
      <c r="G101" s="285">
        <v>-7</v>
      </c>
      <c r="H101" s="285">
        <v>-12</v>
      </c>
      <c r="I101" s="285">
        <v>-13</v>
      </c>
      <c r="J101" s="285">
        <v>-10</v>
      </c>
      <c r="K101" s="285">
        <v>9</v>
      </c>
      <c r="L101" s="285">
        <v>2.5</v>
      </c>
      <c r="M101" s="285">
        <v>4.8</v>
      </c>
      <c r="N101" s="285">
        <v>8.6</v>
      </c>
      <c r="O101" s="285">
        <v>12.2</v>
      </c>
      <c r="P101" s="285">
        <v>29.7</v>
      </c>
      <c r="Q101" s="285">
        <v>27.9</v>
      </c>
      <c r="R101" s="285">
        <v>26.9</v>
      </c>
      <c r="S101" s="285">
        <v>19</v>
      </c>
      <c r="T101" s="285">
        <v>21.7</v>
      </c>
      <c r="U101" s="285">
        <v>12.2</v>
      </c>
      <c r="V101" s="285">
        <v>12.3</v>
      </c>
      <c r="W101" s="285">
        <v>9</v>
      </c>
      <c r="X101" s="285">
        <v>10.8</v>
      </c>
      <c r="Y101" s="285">
        <v>26.3</v>
      </c>
      <c r="Z101" s="285">
        <v>45.6</v>
      </c>
      <c r="AA101" s="285">
        <v>45.1</v>
      </c>
      <c r="AB101" s="285">
        <v>38</v>
      </c>
      <c r="AC101" s="285">
        <v>36.700000000000003</v>
      </c>
      <c r="AD101" s="285">
        <v>37.4</v>
      </c>
      <c r="AE101" s="285">
        <v>6</v>
      </c>
      <c r="AF101" s="285">
        <v>-4.9000000000000004</v>
      </c>
      <c r="AG101" s="283">
        <v>60</v>
      </c>
      <c r="AH101" s="226">
        <f t="shared" si="23"/>
        <v>45.6</v>
      </c>
      <c r="AI101" s="284">
        <f t="shared" si="24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0</v>
      </c>
      <c r="P102" s="287">
        <v>0</v>
      </c>
      <c r="Q102" s="287">
        <v>0</v>
      </c>
      <c r="R102" s="287">
        <v>0</v>
      </c>
      <c r="S102" s="287">
        <v>0</v>
      </c>
      <c r="T102" s="287">
        <v>0</v>
      </c>
      <c r="U102" s="287">
        <v>0</v>
      </c>
      <c r="V102" s="287">
        <v>0</v>
      </c>
      <c r="W102" s="287">
        <v>0</v>
      </c>
      <c r="X102" s="287">
        <v>0</v>
      </c>
      <c r="Y102" s="287">
        <v>62.5</v>
      </c>
      <c r="Z102" s="287">
        <v>48.4</v>
      </c>
      <c r="AA102" s="287">
        <v>50.6</v>
      </c>
      <c r="AB102" s="287">
        <v>33.1</v>
      </c>
      <c r="AC102" s="287">
        <v>0</v>
      </c>
      <c r="AD102" s="287">
        <v>0</v>
      </c>
      <c r="AE102" s="287">
        <v>0</v>
      </c>
      <c r="AF102" s="287">
        <v>0</v>
      </c>
      <c r="AG102" s="288">
        <v>120</v>
      </c>
      <c r="AH102" s="226">
        <f t="shared" si="23"/>
        <v>62.5</v>
      </c>
      <c r="AI102" s="284">
        <f t="shared" si="24"/>
        <v>0.77083333333333337</v>
      </c>
    </row>
    <row r="103" spans="1:37" x14ac:dyDescent="0.25">
      <c r="A103" s="286" t="s">
        <v>107</v>
      </c>
      <c r="B103" s="287">
        <v>38</v>
      </c>
      <c r="C103" s="287">
        <v>34</v>
      </c>
      <c r="D103" s="287">
        <v>33</v>
      </c>
      <c r="E103" s="287">
        <v>33</v>
      </c>
      <c r="F103" s="287">
        <v>34</v>
      </c>
      <c r="G103" s="287">
        <v>34</v>
      </c>
      <c r="H103" s="287">
        <v>36</v>
      </c>
      <c r="I103" s="287">
        <v>24</v>
      </c>
      <c r="J103" s="287">
        <v>35</v>
      </c>
      <c r="K103" s="287">
        <v>25</v>
      </c>
      <c r="L103" s="287">
        <v>62</v>
      </c>
      <c r="M103" s="287">
        <v>44.4</v>
      </c>
      <c r="N103" s="287">
        <v>59.4</v>
      </c>
      <c r="O103" s="287">
        <v>63.8</v>
      </c>
      <c r="P103" s="287">
        <v>42.8</v>
      </c>
      <c r="Q103" s="287">
        <v>59.8</v>
      </c>
      <c r="R103" s="287">
        <v>52.9</v>
      </c>
      <c r="S103" s="287">
        <v>44.4</v>
      </c>
      <c r="T103" s="287">
        <v>63.6</v>
      </c>
      <c r="U103" s="287">
        <v>55.1</v>
      </c>
      <c r="V103" s="287">
        <v>57.2</v>
      </c>
      <c r="W103" s="287">
        <v>50</v>
      </c>
      <c r="X103" s="287">
        <v>67</v>
      </c>
      <c r="Y103" s="287">
        <v>56</v>
      </c>
      <c r="Z103" s="287">
        <v>44</v>
      </c>
      <c r="AA103" s="287">
        <v>48.6</v>
      </c>
      <c r="AB103" s="287">
        <v>35.4</v>
      </c>
      <c r="AC103" s="287">
        <v>28.4</v>
      </c>
      <c r="AD103" s="287">
        <v>25.5</v>
      </c>
      <c r="AE103" s="287">
        <v>23</v>
      </c>
      <c r="AF103" s="287">
        <v>44.9</v>
      </c>
      <c r="AG103" s="288"/>
      <c r="AH103" s="226">
        <f t="shared" si="23"/>
        <v>67</v>
      </c>
      <c r="AI103" s="284">
        <f t="shared" si="24"/>
        <v>0.75</v>
      </c>
    </row>
    <row r="104" spans="1:37" x14ac:dyDescent="0.25">
      <c r="A104" s="286" t="s">
        <v>108</v>
      </c>
      <c r="B104" s="287">
        <v>39</v>
      </c>
      <c r="C104" s="287">
        <v>39</v>
      </c>
      <c r="D104" s="287">
        <v>58</v>
      </c>
      <c r="E104" s="287">
        <v>58</v>
      </c>
      <c r="F104" s="287">
        <v>43</v>
      </c>
      <c r="G104" s="287">
        <v>43</v>
      </c>
      <c r="H104" s="287">
        <v>26</v>
      </c>
      <c r="I104" s="287">
        <v>3.8</v>
      </c>
      <c r="J104" s="287">
        <v>-7</v>
      </c>
      <c r="K104" s="287">
        <v>-8</v>
      </c>
      <c r="L104" s="287">
        <v>-5</v>
      </c>
      <c r="M104" s="287">
        <v>-22.2</v>
      </c>
      <c r="N104" s="287">
        <v>-8.6</v>
      </c>
      <c r="O104" s="287">
        <v>0</v>
      </c>
      <c r="P104" s="287">
        <v>14.6</v>
      </c>
      <c r="Q104" s="287">
        <v>26.7</v>
      </c>
      <c r="R104" s="287">
        <v>22.8</v>
      </c>
      <c r="S104" s="287">
        <v>-5</v>
      </c>
      <c r="T104" s="287">
        <v>12.7</v>
      </c>
      <c r="U104" s="287">
        <v>7</v>
      </c>
      <c r="V104" s="287">
        <v>5.8</v>
      </c>
      <c r="W104" s="287">
        <v>-3.7</v>
      </c>
      <c r="X104" s="287">
        <v>6.1</v>
      </c>
      <c r="Y104" s="287">
        <v>22.3</v>
      </c>
      <c r="Z104" s="287">
        <v>42</v>
      </c>
      <c r="AA104" s="287">
        <v>56.3</v>
      </c>
      <c r="AB104" s="287">
        <v>38.6</v>
      </c>
      <c r="AC104" s="287">
        <v>40.1</v>
      </c>
      <c r="AD104" s="287">
        <v>33.700000000000003</v>
      </c>
      <c r="AE104" s="287">
        <v>26.4</v>
      </c>
      <c r="AF104" s="287">
        <v>63.2</v>
      </c>
      <c r="AG104" s="289"/>
      <c r="AH104" s="226">
        <f t="shared" si="23"/>
        <v>63.2</v>
      </c>
      <c r="AI104" s="284">
        <f t="shared" si="24"/>
        <v>0.95833333333333304</v>
      </c>
    </row>
    <row r="105" spans="1:37" x14ac:dyDescent="0.25">
      <c r="A105" s="290" t="s">
        <v>109</v>
      </c>
      <c r="B105" s="274">
        <v>73</v>
      </c>
      <c r="C105" s="274">
        <v>73</v>
      </c>
      <c r="D105" s="274">
        <v>75</v>
      </c>
      <c r="E105" s="274">
        <v>77</v>
      </c>
      <c r="F105" s="274">
        <v>71</v>
      </c>
      <c r="G105" s="274">
        <v>82</v>
      </c>
      <c r="H105" s="274">
        <v>83</v>
      </c>
      <c r="I105" s="274">
        <v>82</v>
      </c>
      <c r="J105" s="274">
        <v>76</v>
      </c>
      <c r="K105" s="274">
        <v>80</v>
      </c>
      <c r="L105" s="274">
        <v>70</v>
      </c>
      <c r="M105" s="274">
        <v>71.099999999999994</v>
      </c>
      <c r="N105" s="274">
        <v>69</v>
      </c>
      <c r="O105" s="274">
        <v>65.599999999999994</v>
      </c>
      <c r="P105" s="274">
        <v>65.599999999999994</v>
      </c>
      <c r="Q105" s="274">
        <v>65.900000000000006</v>
      </c>
      <c r="R105" s="274">
        <v>61.4</v>
      </c>
      <c r="S105" s="274">
        <v>64</v>
      </c>
      <c r="T105" s="274">
        <v>65</v>
      </c>
      <c r="U105" s="274">
        <v>66</v>
      </c>
      <c r="V105" s="274">
        <v>64</v>
      </c>
      <c r="W105" s="274">
        <v>63</v>
      </c>
      <c r="X105" s="274">
        <v>51.6</v>
      </c>
      <c r="Y105" s="274">
        <v>48.3</v>
      </c>
      <c r="Z105" s="274">
        <v>52</v>
      </c>
      <c r="AA105" s="274">
        <v>50.6</v>
      </c>
      <c r="AB105" s="274">
        <v>53.1</v>
      </c>
      <c r="AC105" s="274">
        <v>53.8</v>
      </c>
      <c r="AD105" s="274">
        <v>54.3</v>
      </c>
      <c r="AE105" s="274">
        <v>62.1</v>
      </c>
      <c r="AF105" s="274">
        <v>65.5</v>
      </c>
      <c r="AG105" s="289"/>
      <c r="AH105" s="226">
        <f t="shared" si="23"/>
        <v>83</v>
      </c>
      <c r="AI105" s="284">
        <f t="shared" si="24"/>
        <v>0.22916666666666666</v>
      </c>
    </row>
    <row r="106" spans="1:37" ht="15.75" thickBot="1" x14ac:dyDescent="0.3">
      <c r="A106" s="290" t="s">
        <v>110</v>
      </c>
      <c r="B106" s="274">
        <v>100</v>
      </c>
      <c r="C106" s="274">
        <v>100</v>
      </c>
      <c r="D106" s="274">
        <v>98</v>
      </c>
      <c r="E106" s="274">
        <v>98</v>
      </c>
      <c r="F106" s="274">
        <v>98</v>
      </c>
      <c r="G106" s="274">
        <v>104</v>
      </c>
      <c r="H106" s="274">
        <v>80</v>
      </c>
      <c r="I106" s="274">
        <v>91</v>
      </c>
      <c r="J106" s="274">
        <v>79</v>
      </c>
      <c r="K106" s="274">
        <v>92</v>
      </c>
      <c r="L106" s="274">
        <v>64</v>
      </c>
      <c r="M106" s="274">
        <v>68.599999999999994</v>
      </c>
      <c r="N106" s="274">
        <v>60.9</v>
      </c>
      <c r="O106" s="274">
        <v>53.8</v>
      </c>
      <c r="P106" s="274">
        <v>60.2</v>
      </c>
      <c r="Q106" s="274">
        <v>68.900000000000006</v>
      </c>
      <c r="R106" s="274">
        <v>72.5</v>
      </c>
      <c r="S106" s="274">
        <v>75</v>
      </c>
      <c r="T106" s="274">
        <v>63.1</v>
      </c>
      <c r="U106" s="274">
        <v>62.6</v>
      </c>
      <c r="V106" s="274">
        <v>63.2</v>
      </c>
      <c r="W106" s="274">
        <v>59.3</v>
      </c>
      <c r="X106" s="274">
        <v>43.1</v>
      </c>
      <c r="Y106" s="274">
        <v>60.4</v>
      </c>
      <c r="Z106" s="274">
        <v>75</v>
      </c>
      <c r="AA106" s="274">
        <v>72.8</v>
      </c>
      <c r="AB106" s="274">
        <v>85.9</v>
      </c>
      <c r="AC106" s="274">
        <v>87.1</v>
      </c>
      <c r="AD106" s="274">
        <v>95.5</v>
      </c>
      <c r="AE106" s="274">
        <v>97.8</v>
      </c>
      <c r="AF106" s="274">
        <v>91</v>
      </c>
      <c r="AG106" s="289"/>
      <c r="AH106" s="226">
        <f t="shared" si="23"/>
        <v>104</v>
      </c>
      <c r="AI106" s="284">
        <f t="shared" si="24"/>
        <v>0.20833333333333301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1797.2399999999998</v>
      </c>
      <c r="C230" s="333">
        <f>INDEX(G9:N9,1,MATCH(MAX(G79:N79),G79:N79,0))</f>
        <v>0.33333333333333331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22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2079/02/22)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2079/02/22)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1613.24</v>
      </c>
      <c r="U235" s="343">
        <f t="shared" si="31"/>
        <v>1659.24</v>
      </c>
      <c r="V235" s="343">
        <f t="shared" si="31"/>
        <v>1732.24</v>
      </c>
      <c r="W235" s="343">
        <f t="shared" si="31"/>
        <v>1732.24</v>
      </c>
      <c r="X235" s="343">
        <f t="shared" si="31"/>
        <v>1660.84</v>
      </c>
      <c r="Y235" s="343">
        <f t="shared" si="31"/>
        <v>1734.84</v>
      </c>
      <c r="Z235" s="343">
        <f t="shared" si="31"/>
        <v>1620.54</v>
      </c>
      <c r="AA235" s="343">
        <f t="shared" si="31"/>
        <v>1618.54</v>
      </c>
      <c r="AB235" s="343">
        <f t="shared" si="31"/>
        <v>1666.34</v>
      </c>
      <c r="AC235" s="343">
        <f t="shared" si="31"/>
        <v>1721.04</v>
      </c>
      <c r="AD235" s="343">
        <f t="shared" si="31"/>
        <v>1767.84</v>
      </c>
      <c r="AE235" s="343">
        <f t="shared" si="31"/>
        <v>1797.2399999999998</v>
      </c>
      <c r="AF235" s="343">
        <f t="shared" si="31"/>
        <v>1773.54</v>
      </c>
      <c r="AG235" s="343">
        <f t="shared" si="31"/>
        <v>1752.8400000000001</v>
      </c>
      <c r="AH235" s="343">
        <f t="shared" si="31"/>
        <v>1799.0400000000002</v>
      </c>
      <c r="AI235" s="343">
        <f t="shared" si="31"/>
        <v>1804.4399999999998</v>
      </c>
      <c r="AJ235" s="343">
        <f t="shared" si="31"/>
        <v>1827.44</v>
      </c>
      <c r="AK235" s="343">
        <f t="shared" si="31"/>
        <v>1824.6399999999999</v>
      </c>
      <c r="AL235" s="343">
        <f t="shared" si="31"/>
        <v>1823.6399999999999</v>
      </c>
      <c r="AM235" s="343">
        <f t="shared" si="31"/>
        <v>1829.84</v>
      </c>
      <c r="AN235" s="343">
        <f t="shared" si="31"/>
        <v>1815.54</v>
      </c>
      <c r="AO235" s="343">
        <f t="shared" si="31"/>
        <v>1800.3400000000001</v>
      </c>
      <c r="AP235" s="343">
        <f t="shared" si="31"/>
        <v>1798.04</v>
      </c>
      <c r="AQ235" s="343">
        <f t="shared" si="31"/>
        <v>1839.14</v>
      </c>
      <c r="AR235" s="343">
        <f t="shared" si="31"/>
        <v>1903.74</v>
      </c>
      <c r="AS235" s="343">
        <f t="shared" si="31"/>
        <v>1908.64</v>
      </c>
      <c r="AT235" s="343">
        <f t="shared" si="31"/>
        <v>1912.24</v>
      </c>
      <c r="AU235" s="343">
        <f t="shared" si="31"/>
        <v>1920.24</v>
      </c>
      <c r="AV235" s="343">
        <f t="shared" si="31"/>
        <v>1921.34</v>
      </c>
      <c r="AW235" s="343">
        <f t="shared" si="31"/>
        <v>1848.3400000000001</v>
      </c>
      <c r="AX235" s="343">
        <f t="shared" si="31"/>
        <v>1763.1399999999999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A11:AF11">
    <cfRule type="expression" dxfId="3304" priority="232">
      <formula>B$9&gt;=20/24</formula>
    </cfRule>
    <cfRule type="expression" dxfId="3303" priority="233">
      <formula>AND(B$9&gt;=14/24,B$9&lt;20/24)</formula>
    </cfRule>
    <cfRule type="expression" dxfId="3302" priority="234">
      <formula>AND(B$9&gt;=8/24,B$9&lt;14/24)</formula>
    </cfRule>
    <cfRule type="expression" dxfId="3301" priority="235">
      <formula>B$9&lt;8/24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W37:AF37">
    <cfRule type="expression" dxfId="3300" priority="227">
      <formula>W$9&gt;=20/24</formula>
    </cfRule>
    <cfRule type="expression" dxfId="3299" priority="228">
      <formula>AND(W$9&gt;=14/24,W$9&lt;20/24)</formula>
    </cfRule>
    <cfRule type="expression" dxfId="3298" priority="229">
      <formula>AND(W$9&gt;=8/24,W$9&lt;14/24)</formula>
    </cfRule>
    <cfRule type="expression" dxfId="3297" priority="230">
      <formula>W$9&lt;8/24</formula>
    </cfRule>
  </conditionalFormatting>
  <conditionalFormatting sqref="AG55 B12:L16 M11:O11 P11:Z13 M16:Z16 W37:AF37 AA11:AF16 B35:AF35">
    <cfRule type="expression" dxfId="3296" priority="226">
      <formula>B11&gt;$AG11</formula>
    </cfRule>
  </conditionalFormatting>
  <conditionalFormatting sqref="A89:A102 A11:A14 A49:A76 A85:A87 A191:A221 A16:A30 A36:A47 A107:A178 A32:A33 A81:A83 A78:A79">
    <cfRule type="expression" dxfId="3295" priority="225">
      <formula>$AH11=0</formula>
    </cfRule>
  </conditionalFormatting>
  <conditionalFormatting sqref="A103">
    <cfRule type="expression" dxfId="3294" priority="224">
      <formula>$AH103=0</formula>
    </cfRule>
  </conditionalFormatting>
  <conditionalFormatting sqref="AL3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293" priority="222">
      <formula>$AH35=0</formula>
    </cfRule>
  </conditionalFormatting>
  <conditionalFormatting sqref="A88">
    <cfRule type="expression" dxfId="3292" priority="221">
      <formula>$AH88=0</formula>
    </cfRule>
  </conditionalFormatting>
  <conditionalFormatting sqref="A15">
    <cfRule type="expression" dxfId="3291" priority="220">
      <formula>$AH15=0</formula>
    </cfRule>
  </conditionalFormatting>
  <conditionalFormatting sqref="A185:A190">
    <cfRule type="expression" dxfId="3290" priority="219">
      <formula>$AH185=0</formula>
    </cfRule>
  </conditionalFormatting>
  <conditionalFormatting sqref="A179:A184">
    <cfRule type="expression" dxfId="3289" priority="218">
      <formula>$AH179=0</formula>
    </cfRule>
  </conditionalFormatting>
  <conditionalFormatting sqref="A48">
    <cfRule type="expression" dxfId="3288" priority="217">
      <formula>$AH48=0</formula>
    </cfRule>
  </conditionalFormatting>
  <conditionalFormatting sqref="A84">
    <cfRule type="expression" dxfId="3287" priority="216">
      <formula>$AH84=0</formula>
    </cfRule>
  </conditionalFormatting>
  <conditionalFormatting sqref="C89:AF89">
    <cfRule type="expression" dxfId="3286" priority="212">
      <formula>C$9&gt;=20/24</formula>
    </cfRule>
    <cfRule type="expression" dxfId="3285" priority="213">
      <formula>AND(C$9&gt;=14/24,C$9&lt;20/24)</formula>
    </cfRule>
    <cfRule type="expression" dxfId="3284" priority="214">
      <formula>AND(C$9&gt;=8/24,C$9&lt;14/24)</formula>
    </cfRule>
    <cfRule type="expression" dxfId="3283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82" priority="238">
      <formula>C$9&gt;=20/24</formula>
    </cfRule>
    <cfRule type="expression" dxfId="3281" priority="239">
      <formula>AND(C$9&gt;=14/24,C$9&lt;20/24)</formula>
    </cfRule>
    <cfRule type="expression" dxfId="3280" priority="240">
      <formula>AND(C$9&gt;=8/24,C$9&lt;14/24)</formula>
    </cfRule>
    <cfRule type="expression" dxfId="3279" priority="241">
      <formula>C$9&lt;8/24</formula>
    </cfRule>
  </conditionalFormatting>
  <conditionalFormatting sqref="A222">
    <cfRule type="expression" dxfId="3278" priority="242">
      <formula>$AH222=0</formula>
    </cfRule>
  </conditionalFormatting>
  <conditionalFormatting sqref="AG234">
    <cfRule type="expression" dxfId="3277" priority="243">
      <formula>B$9&gt;=20/24</formula>
    </cfRule>
    <cfRule type="expression" dxfId="3276" priority="244">
      <formula>AND(B$9&gt;=14/24,B$9&lt;20/24)</formula>
    </cfRule>
    <cfRule type="expression" dxfId="3275" priority="245">
      <formula>AND(B$9&gt;=8/24,B$9&lt;14/24)</formula>
    </cfRule>
    <cfRule type="expression" dxfId="3274" priority="246">
      <formula>B$9&lt;8/24</formula>
    </cfRule>
  </conditionalFormatting>
  <conditionalFormatting sqref="S8">
    <cfRule type="expression" dxfId="3273" priority="207">
      <formula>U$9&gt;=20/24</formula>
    </cfRule>
    <cfRule type="expression" dxfId="3272" priority="208">
      <formula>AND(U$9&gt;=14/24,U$9&lt;20/24)</formula>
    </cfRule>
    <cfRule type="expression" dxfId="3271" priority="209">
      <formula>AND(U$9&gt;=8/24,U$9&lt;14/24)</formula>
    </cfRule>
    <cfRule type="expression" dxfId="3270" priority="210">
      <formula>U$9&lt;8/24</formula>
    </cfRule>
  </conditionalFormatting>
  <conditionalFormatting sqref="AB8">
    <cfRule type="expression" dxfId="3269" priority="203">
      <formula>AD$9&gt;=20/24</formula>
    </cfRule>
    <cfRule type="expression" dxfId="3268" priority="204">
      <formula>AND(AD$9&gt;=14/24,AD$9&lt;20/24)</formula>
    </cfRule>
    <cfRule type="expression" dxfId="3267" priority="205">
      <formula>AND(AD$9&gt;=8/24,AD$9&lt;14/24)</formula>
    </cfRule>
    <cfRule type="expression" dxfId="3266" priority="206">
      <formula>AD$9&lt;8/24</formula>
    </cfRule>
  </conditionalFormatting>
  <conditionalFormatting sqref="AH234:AX234">
    <cfRule type="expression" dxfId="3265" priority="247">
      <formula>AG$9&gt;=20/24</formula>
    </cfRule>
    <cfRule type="expression" dxfId="3264" priority="248">
      <formula>AND(AG$9&gt;=14/24,AG$9&lt;20/24)</formula>
    </cfRule>
    <cfRule type="expression" dxfId="3263" priority="249">
      <formula>AND(AG$9&gt;=8/24,AG$9&lt;14/24)</formula>
    </cfRule>
    <cfRule type="expression" dxfId="3262" priority="250">
      <formula>AG$9&lt;8/24</formula>
    </cfRule>
  </conditionalFormatting>
  <conditionalFormatting sqref="T234">
    <cfRule type="expression" dxfId="3261" priority="251">
      <formula>AX$9&gt;=20/24</formula>
    </cfRule>
    <cfRule type="expression" dxfId="3260" priority="252">
      <formula>AND(AX$9&gt;=14/24,AX$9&lt;20/24)</formula>
    </cfRule>
    <cfRule type="expression" dxfId="3259" priority="253">
      <formula>AND(AX$9&gt;=8/24,AX$9&lt;14/24)</formula>
    </cfRule>
    <cfRule type="expression" dxfId="3258" priority="254">
      <formula>AX$9&lt;8/24</formula>
    </cfRule>
  </conditionalFormatting>
  <conditionalFormatting sqref="A104:A105">
    <cfRule type="expression" dxfId="3257" priority="202">
      <formula>$AH104=0</formula>
    </cfRule>
  </conditionalFormatting>
  <conditionalFormatting sqref="V44:AF45 D61:AF61 AA36:AF36">
    <cfRule type="expression" dxfId="3256" priority="198">
      <formula>D$9&gt;=20/24</formula>
    </cfRule>
    <cfRule type="expression" dxfId="3255" priority="199">
      <formula>AND(D$9&gt;=14/24,D$9&lt;20/24)</formula>
    </cfRule>
    <cfRule type="expression" dxfId="3254" priority="200">
      <formula>AND(D$9&gt;=8/24,D$9&lt;14/24)</formula>
    </cfRule>
    <cfRule type="expression" dxfId="3253" priority="201">
      <formula>D$9&lt;8/24</formula>
    </cfRule>
  </conditionalFormatting>
  <conditionalFormatting sqref="V43:AF43">
    <cfRule type="expression" dxfId="3252" priority="194">
      <formula>V$9&gt;=20/24</formula>
    </cfRule>
    <cfRule type="expression" dxfId="3251" priority="195">
      <formula>AND(V$9&gt;=14/24,V$9&lt;20/24)</formula>
    </cfRule>
    <cfRule type="expression" dxfId="3250" priority="196">
      <formula>AND(V$9&gt;=8/24,V$9&lt;14/24)</formula>
    </cfRule>
    <cfRule type="expression" dxfId="3249" priority="197">
      <formula>V$9&lt;8/24</formula>
    </cfRule>
  </conditionalFormatting>
  <conditionalFormatting sqref="V43:AF45 AA36:AF36">
    <cfRule type="expression" dxfId="3248" priority="193">
      <formula>V36&gt;$AG36</formula>
    </cfRule>
  </conditionalFormatting>
  <conditionalFormatting sqref="C86:AF86 C73:AF76 D62:M67 P62:Q63 N62:O68 Q64:Q71 P64:P68 D71:P71 M37:V37 M11:Z14 C90:AF96 K57:AF59 R62:AF71 AA18:AF22 AA24:AF26 AA28:AF32 AA12:AF14 M16:AF16">
    <cfRule type="expression" dxfId="3247" priority="189">
      <formula>C$9&gt;=20/24</formula>
    </cfRule>
    <cfRule type="expression" dxfId="3246" priority="190">
      <formula>AND(C$9&gt;=14/24,C$9&lt;20/24)</formula>
    </cfRule>
    <cfRule type="expression" dxfId="3245" priority="191">
      <formula>AND(C$9&gt;=8/24,C$9&lt;14/24)</formula>
    </cfRule>
    <cfRule type="expression" dxfId="3244" priority="192">
      <formula>C$9&lt;8/24</formula>
    </cfRule>
  </conditionalFormatting>
  <conditionalFormatting sqref="AA33:AF33">
    <cfRule type="expression" dxfId="3243" priority="185">
      <formula>AA$9&gt;=20/24</formula>
    </cfRule>
    <cfRule type="expression" dxfId="3242" priority="186">
      <formula>AND(AA$9&gt;=14/24,AA$9&lt;20/24)</formula>
    </cfRule>
    <cfRule type="expression" dxfId="3241" priority="187">
      <formula>AND(AA$9&gt;=8/24,AA$9&lt;14/24)</formula>
    </cfRule>
    <cfRule type="expression" dxfId="3240" priority="188">
      <formula>AA$9&lt;8/24</formula>
    </cfRule>
  </conditionalFormatting>
  <conditionalFormatting sqref="M11:O15 M37:V37 P11:Z11 P14:Z15 C55:AF55 K57:AF59 AB46:AF47 AA18:AF22 AA24:AF33">
    <cfRule type="expression" dxfId="3239" priority="184">
      <formula>C11&gt;$AG11</formula>
    </cfRule>
  </conditionalFormatting>
  <conditionalFormatting sqref="AA35:AF35">
    <cfRule type="expression" dxfId="3238" priority="180">
      <formula>AA$9&gt;=20/24</formula>
    </cfRule>
    <cfRule type="expression" dxfId="3237" priority="181">
      <formula>AND(AA$9&gt;=14/24,AA$9&lt;20/24)</formula>
    </cfRule>
    <cfRule type="expression" dxfId="3236" priority="182">
      <formula>AND(AA$9&gt;=8/24,AA$9&lt;14/24)</formula>
    </cfRule>
    <cfRule type="expression" dxfId="3235" priority="183">
      <formula>AA$9&lt;8/24</formula>
    </cfRule>
  </conditionalFormatting>
  <conditionalFormatting sqref="M15:AF15">
    <cfRule type="expression" dxfId="3234" priority="176">
      <formula>M$9&gt;=20/24</formula>
    </cfRule>
    <cfRule type="expression" dxfId="3233" priority="177">
      <formula>AND(M$9&gt;=14/24,M$9&lt;20/24)</formula>
    </cfRule>
    <cfRule type="expression" dxfId="3232" priority="178">
      <formula>AND(M$9&gt;=8/24,M$9&lt;14/24)</formula>
    </cfRule>
    <cfRule type="expression" dxfId="3231" priority="179">
      <formula>M$9&lt;8/24</formula>
    </cfRule>
  </conditionalFormatting>
  <conditionalFormatting sqref="AA34:AF34">
    <cfRule type="expression" dxfId="3230" priority="172">
      <formula>AA$9&gt;=20/24</formula>
    </cfRule>
    <cfRule type="expression" dxfId="3229" priority="173">
      <formula>AND(AA$9&gt;=14/24,AA$9&lt;20/24)</formula>
    </cfRule>
    <cfRule type="expression" dxfId="3228" priority="174">
      <formula>AND(AA$9&gt;=8/24,AA$9&lt;14/24)</formula>
    </cfRule>
    <cfRule type="expression" dxfId="3227" priority="175">
      <formula>AA$9&lt;8/24</formula>
    </cfRule>
  </conditionalFormatting>
  <conditionalFormatting sqref="AA34:AF34">
    <cfRule type="expression" dxfId="3226" priority="171">
      <formula>AA34&gt;$AG34</formula>
    </cfRule>
  </conditionalFormatting>
  <conditionalFormatting sqref="V46:AA47 AB48:AF54">
    <cfRule type="expression" dxfId="3225" priority="163">
      <formula>V$9&gt;=20/24</formula>
    </cfRule>
    <cfRule type="expression" dxfId="3224" priority="164">
      <formula>AND(V$9&gt;=14/24,V$9&lt;20/24)</formula>
    </cfRule>
    <cfRule type="expression" dxfId="3223" priority="165">
      <formula>AND(V$9&gt;=8/24,V$9&lt;14/24)</formula>
    </cfRule>
    <cfRule type="expression" dxfId="3222" priority="166">
      <formula>V$9&lt;8/24</formula>
    </cfRule>
  </conditionalFormatting>
  <conditionalFormatting sqref="V46:AA47 AB48:AF54">
    <cfRule type="expression" dxfId="3221" priority="162">
      <formula>V46&gt;$AG46</formula>
    </cfRule>
  </conditionalFormatting>
  <conditionalFormatting sqref="M43:Q46 N48:N54 M47:N47 O47:Q54 R43:U54 V48:AA54">
    <cfRule type="expression" dxfId="3220" priority="158">
      <formula>M$9&gt;=20/24</formula>
    </cfRule>
    <cfRule type="expression" dxfId="3219" priority="159">
      <formula>AND(M$9&gt;=14/24,M$9&lt;20/24)</formula>
    </cfRule>
    <cfRule type="expression" dxfId="3218" priority="160">
      <formula>AND(M$9&gt;=8/24,M$9&lt;14/24)</formula>
    </cfRule>
    <cfRule type="expression" dxfId="3217" priority="161">
      <formula>M$9&lt;8/24</formula>
    </cfRule>
  </conditionalFormatting>
  <conditionalFormatting sqref="M43:Q46 N48:N54 M47:N47 O47:Q54 R43:U54 V48:AA54">
    <cfRule type="expression" dxfId="3216" priority="157">
      <formula>M43&gt;$AG43</formula>
    </cfRule>
  </conditionalFormatting>
  <conditionalFormatting sqref="AA27:AF27">
    <cfRule type="expression" dxfId="3215" priority="153">
      <formula>AA$9&gt;=20/24</formula>
    </cfRule>
    <cfRule type="expression" dxfId="3214" priority="154">
      <formula>AND(AA$9&gt;=14/24,AA$9&lt;20/24)</formula>
    </cfRule>
    <cfRule type="expression" dxfId="3213" priority="155">
      <formula>AND(AA$9&gt;=8/24,AA$9&lt;14/24)</formula>
    </cfRule>
    <cfRule type="expression" dxfId="3212" priority="156">
      <formula>AA$9&lt;8/24</formula>
    </cfRule>
  </conditionalFormatting>
  <conditionalFormatting sqref="AA23:AF23 M17:AF17">
    <cfRule type="expression" dxfId="3211" priority="149">
      <formula>M$9&gt;=20/24</formula>
    </cfRule>
    <cfRule type="expression" dxfId="3210" priority="150">
      <formula>AND(M$9&gt;=14/24,M$9&lt;20/24)</formula>
    </cfRule>
    <cfRule type="expression" dxfId="3209" priority="151">
      <formula>AND(M$9&gt;=8/24,M$9&lt;14/24)</formula>
    </cfRule>
    <cfRule type="expression" dxfId="3208" priority="152">
      <formula>M$9&lt;8/24</formula>
    </cfRule>
  </conditionalFormatting>
  <conditionalFormatting sqref="AA23:AF23 M17:AF17">
    <cfRule type="expression" dxfId="3207" priority="144">
      <formula>M17&gt;$AG17</formula>
    </cfRule>
  </conditionalFormatting>
  <conditionalFormatting sqref="C43:L43">
    <cfRule type="expression" dxfId="3206" priority="123">
      <formula>C$9&gt;=20/24</formula>
    </cfRule>
    <cfRule type="expression" dxfId="3205" priority="124">
      <formula>AND(C$9&gt;=14/24,C$9&lt;20/24)</formula>
    </cfRule>
    <cfRule type="expression" dxfId="3204" priority="125">
      <formula>AND(C$9&gt;=8/24,C$9&lt;14/24)</formula>
    </cfRule>
    <cfRule type="expression" dxfId="3203" priority="126">
      <formula>C$9&lt;8/24</formula>
    </cfRule>
  </conditionalFormatting>
  <conditionalFormatting sqref="C43:L43">
    <cfRule type="expression" dxfId="3202" priority="122">
      <formula>C43&gt;$AG43</formula>
    </cfRule>
  </conditionalFormatting>
  <conditionalFormatting sqref="D68:M70 N69:P70">
    <cfRule type="expression" dxfId="3201" priority="118">
      <formula>D$9&gt;=20/24</formula>
    </cfRule>
    <cfRule type="expression" dxfId="3200" priority="119">
      <formula>AND(D$9&gt;=14/24,D$9&lt;20/24)</formula>
    </cfRule>
    <cfRule type="expression" dxfId="3199" priority="120">
      <formula>AND(D$9&gt;=8/24,D$9&lt;14/24)</formula>
    </cfRule>
    <cfRule type="expression" dxfId="3198" priority="121">
      <formula>D$9&lt;8/24</formula>
    </cfRule>
  </conditionalFormatting>
  <conditionalFormatting sqref="B99:B105 B87:AF87 B11:L11 B78:AF78">
    <cfRule type="expression" dxfId="3197" priority="99">
      <formula>B$9&gt;=20/24</formula>
    </cfRule>
    <cfRule type="expression" dxfId="3196" priority="100">
      <formula>AND(B$9&gt;=14/24,B$9&lt;20/24)</formula>
    </cfRule>
    <cfRule type="expression" dxfId="3195" priority="101">
      <formula>AND(B$9&gt;=8/24,B$9&lt;14/24)</formula>
    </cfRule>
    <cfRule type="expression" dxfId="3194" priority="102">
      <formula>B$9&lt;8/24</formula>
    </cfRule>
  </conditionalFormatting>
  <conditionalFormatting sqref="B37:L37">
    <cfRule type="expression" dxfId="3193" priority="95">
      <formula>B$9&gt;=20/24</formula>
    </cfRule>
    <cfRule type="expression" dxfId="3192" priority="96">
      <formula>AND(B$9&gt;=14/24,B$9&lt;20/24)</formula>
    </cfRule>
    <cfRule type="expression" dxfId="3191" priority="97">
      <formula>AND(B$9&gt;=8/24,B$9&lt;14/24)</formula>
    </cfRule>
    <cfRule type="expression" dxfId="3190" priority="98">
      <formula>B$9&lt;8/24</formula>
    </cfRule>
  </conditionalFormatting>
  <conditionalFormatting sqref="B37:L37 B11:L11">
    <cfRule type="expression" dxfId="3189" priority="94">
      <formula>B11&gt;$AG11</formula>
    </cfRule>
  </conditionalFormatting>
  <conditionalFormatting sqref="B89">
    <cfRule type="expression" dxfId="3188" priority="90">
      <formula>B$9&gt;=20/24</formula>
    </cfRule>
    <cfRule type="expression" dxfId="3187" priority="91">
      <formula>AND(B$9&gt;=14/24,B$9&lt;20/24)</formula>
    </cfRule>
    <cfRule type="expression" dxfId="3186" priority="92">
      <formula>AND(B$9&gt;=8/24,B$9&lt;14/24)</formula>
    </cfRule>
    <cfRule type="expression" dxfId="3185" priority="93">
      <formula>B$9&lt;8/24</formula>
    </cfRule>
  </conditionalFormatting>
  <conditionalFormatting sqref="B61:C61 B44:L45 B36:Z36">
    <cfRule type="expression" dxfId="3184" priority="86">
      <formula>B$9&gt;=20/24</formula>
    </cfRule>
    <cfRule type="expression" dxfId="3183" priority="87">
      <formula>AND(B$9&gt;=14/24,B$9&lt;20/24)</formula>
    </cfRule>
    <cfRule type="expression" dxfId="3182" priority="88">
      <formula>AND(B$9&gt;=8/24,B$9&lt;14/24)</formula>
    </cfRule>
    <cfRule type="expression" dxfId="3181" priority="89">
      <formula>B$9&lt;8/24</formula>
    </cfRule>
  </conditionalFormatting>
  <conditionalFormatting sqref="B43">
    <cfRule type="expression" dxfId="3180" priority="82">
      <formula>B$9&gt;=20/24</formula>
    </cfRule>
    <cfRule type="expression" dxfId="3179" priority="83">
      <formula>AND(B$9&gt;=14/24,B$9&lt;20/24)</formula>
    </cfRule>
    <cfRule type="expression" dxfId="3178" priority="84">
      <formula>AND(B$9&gt;=8/24,B$9&lt;14/24)</formula>
    </cfRule>
    <cfRule type="expression" dxfId="3177" priority="85">
      <formula>B$9&lt;8/24</formula>
    </cfRule>
  </conditionalFormatting>
  <conditionalFormatting sqref="B43:B45 C44:L45 B36:Z36">
    <cfRule type="expression" dxfId="3176" priority="81">
      <formula>B36&gt;$AG36</formula>
    </cfRule>
  </conditionalFormatting>
  <conditionalFormatting sqref="B90:B96 B57:B60 B73:B77 B79:AF79 B86 C77:AG77 B88:AF88 B62:C71 C57:J59 B12:L14 B16:L16 B18:Z22 B28:Z32 B24:Z26 C60:AG60">
    <cfRule type="expression" dxfId="3175" priority="77">
      <formula>B$9&gt;=20/24</formula>
    </cfRule>
    <cfRule type="expression" dxfId="3174" priority="78">
      <formula>AND(B$9&gt;=14/24,B$9&lt;20/24)</formula>
    </cfRule>
    <cfRule type="expression" dxfId="3173" priority="79">
      <formula>AND(B$9&gt;=8/24,B$9&lt;14/24)</formula>
    </cfRule>
    <cfRule type="expression" dxfId="3172" priority="80">
      <formula>B$9&lt;8/24</formula>
    </cfRule>
  </conditionalFormatting>
  <conditionalFormatting sqref="B33:Z33">
    <cfRule type="expression" dxfId="3171" priority="73">
      <formula>B$9&gt;=20/24</formula>
    </cfRule>
    <cfRule type="expression" dxfId="3170" priority="74">
      <formula>AND(B$9&gt;=14/24,B$9&lt;20/24)</formula>
    </cfRule>
    <cfRule type="expression" dxfId="3169" priority="75">
      <formula>AND(B$9&gt;=8/24,B$9&lt;14/24)</formula>
    </cfRule>
    <cfRule type="expression" dxfId="3168" priority="76">
      <formula>B$9&lt;8/24</formula>
    </cfRule>
  </conditionalFormatting>
  <conditionalFormatting sqref="B55:B60 C57:J59 B46:L47 B18:Z22 B24:Z33 C56:AG56 C60:AG60 B38:AG38">
    <cfRule type="expression" dxfId="3167" priority="72">
      <formula>B18&gt;$AG18</formula>
    </cfRule>
  </conditionalFormatting>
  <conditionalFormatting sqref="B35:Z35">
    <cfRule type="expression" dxfId="3166" priority="68">
      <formula>B$9&gt;=20/24</formula>
    </cfRule>
    <cfRule type="expression" dxfId="3165" priority="69">
      <formula>AND(B$9&gt;=14/24,B$9&lt;20/24)</formula>
    </cfRule>
    <cfRule type="expression" dxfId="3164" priority="70">
      <formula>AND(B$9&gt;=8/24,B$9&lt;14/24)</formula>
    </cfRule>
    <cfRule type="expression" dxfId="3163" priority="71">
      <formula>B$9&lt;8/24</formula>
    </cfRule>
  </conditionalFormatting>
  <conditionalFormatting sqref="B15:L15">
    <cfRule type="expression" dxfId="3162" priority="64">
      <formula>B$9&gt;=20/24</formula>
    </cfRule>
    <cfRule type="expression" dxfId="3161" priority="65">
      <formula>AND(B$9&gt;=14/24,B$9&lt;20/24)</formula>
    </cfRule>
    <cfRule type="expression" dxfId="3160" priority="66">
      <formula>AND(B$9&gt;=8/24,B$9&lt;14/24)</formula>
    </cfRule>
    <cfRule type="expression" dxfId="3159" priority="67">
      <formula>B$9&lt;8/24</formula>
    </cfRule>
  </conditionalFormatting>
  <conditionalFormatting sqref="B34:Z34">
    <cfRule type="expression" dxfId="3158" priority="60">
      <formula>B$9&gt;=20/24</formula>
    </cfRule>
    <cfRule type="expression" dxfId="3157" priority="61">
      <formula>AND(B$9&gt;=14/24,B$9&lt;20/24)</formula>
    </cfRule>
    <cfRule type="expression" dxfId="3156" priority="62">
      <formula>AND(B$9&gt;=8/24,B$9&lt;14/24)</formula>
    </cfRule>
    <cfRule type="expression" dxfId="3155" priority="63">
      <formula>B$9&lt;8/24</formula>
    </cfRule>
  </conditionalFormatting>
  <conditionalFormatting sqref="B34:Z34">
    <cfRule type="expression" dxfId="3154" priority="59">
      <formula>B34&gt;$AG34</formula>
    </cfRule>
  </conditionalFormatting>
  <conditionalFormatting sqref="B48:M54">
    <cfRule type="expression" dxfId="3153" priority="55">
      <formula>B$9&gt;=20/24</formula>
    </cfRule>
    <cfRule type="expression" dxfId="3152" priority="56">
      <formula>AND(B$9&gt;=14/24,B$9&lt;20/24)</formula>
    </cfRule>
    <cfRule type="expression" dxfId="3151" priority="57">
      <formula>AND(B$9&gt;=8/24,B$9&lt;14/24)</formula>
    </cfRule>
    <cfRule type="expression" dxfId="3150" priority="58">
      <formula>B$9&lt;8/24</formula>
    </cfRule>
  </conditionalFormatting>
  <conditionalFormatting sqref="B48:M54">
    <cfRule type="expression" dxfId="3149" priority="54">
      <formula>B48&gt;$AG48</formula>
    </cfRule>
  </conditionalFormatting>
  <conditionalFormatting sqref="B27:Z27">
    <cfRule type="expression" dxfId="3148" priority="50">
      <formula>B$9&gt;=20/24</formula>
    </cfRule>
    <cfRule type="expression" dxfId="3147" priority="51">
      <formula>AND(B$9&gt;=14/24,B$9&lt;20/24)</formula>
    </cfRule>
    <cfRule type="expression" dxfId="3146" priority="52">
      <formula>AND(B$9&gt;=8/24,B$9&lt;14/24)</formula>
    </cfRule>
    <cfRule type="expression" dxfId="3145" priority="53">
      <formula>B$9&lt;8/24</formula>
    </cfRule>
  </conditionalFormatting>
  <conditionalFormatting sqref="B17:L17 B23:Z23">
    <cfRule type="expression" dxfId="3144" priority="46">
      <formula>B$9&gt;=20/24</formula>
    </cfRule>
    <cfRule type="expression" dxfId="3143" priority="47">
      <formula>AND(B$9&gt;=14/24,B$9&lt;20/24)</formula>
    </cfRule>
    <cfRule type="expression" dxfId="3142" priority="48">
      <formula>AND(B$9&gt;=8/24,B$9&lt;14/24)</formula>
    </cfRule>
    <cfRule type="expression" dxfId="3141" priority="49">
      <formula>B$9&lt;8/24</formula>
    </cfRule>
  </conditionalFormatting>
  <conditionalFormatting sqref="B17:L17 B23:Z23">
    <cfRule type="expression" dxfId="3140" priority="45">
      <formula>B17&gt;$AG17</formula>
    </cfRule>
  </conditionalFormatting>
  <conditionalFormatting sqref="A34">
    <cfRule type="expression" dxfId="3139" priority="44">
      <formula>$AH34=0</formula>
    </cfRule>
  </conditionalFormatting>
  <conditionalFormatting sqref="B72:AF72">
    <cfRule type="expression" dxfId="3138" priority="40">
      <formula>B$9&gt;=20/24</formula>
    </cfRule>
    <cfRule type="expression" dxfId="3137" priority="41">
      <formula>AND(B$9&gt;=14/24,B$9&lt;20/24)</formula>
    </cfRule>
    <cfRule type="expression" dxfId="3136" priority="42">
      <formula>AND(B$9&gt;=8/24,B$9&lt;14/24)</formula>
    </cfRule>
    <cfRule type="expression" dxfId="3135" priority="43">
      <formula>B$9&lt;8/24</formula>
    </cfRule>
  </conditionalFormatting>
  <conditionalFormatting sqref="B81:AF85">
    <cfRule type="expression" dxfId="3134" priority="36">
      <formula>B$9&gt;=20/24</formula>
    </cfRule>
    <cfRule type="expression" dxfId="3133" priority="37">
      <formula>AND(B$9&gt;=14/24,B$9&lt;20/24)</formula>
    </cfRule>
    <cfRule type="expression" dxfId="3132" priority="38">
      <formula>AND(B$9&gt;=8/24,B$9&lt;14/24)</formula>
    </cfRule>
    <cfRule type="expression" dxfId="3131" priority="39">
      <formula>B$9&lt;8/24</formula>
    </cfRule>
  </conditionalFormatting>
  <conditionalFormatting sqref="AL35 AL7:AL30 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3130" priority="32">
      <formula>C$9&gt;=20/24</formula>
    </cfRule>
    <cfRule type="expression" dxfId="3129" priority="33">
      <formula>AND(C$9&gt;=14/24,C$9&lt;20/24)</formula>
    </cfRule>
    <cfRule type="expression" dxfId="3128" priority="34">
      <formula>AND(C$9&gt;=8/24,C$9&lt;14/24)</formula>
    </cfRule>
    <cfRule type="expression" dxfId="3127" priority="35">
      <formula>C$9&lt;8/24</formula>
    </cfRule>
  </conditionalFormatting>
  <conditionalFormatting sqref="C39:AF41">
    <cfRule type="expression" dxfId="3126" priority="31">
      <formula>C39&gt;$AG39</formula>
    </cfRule>
  </conditionalFormatting>
  <conditionalFormatting sqref="B39:B42 C42:AG42">
    <cfRule type="expression" dxfId="3125" priority="27">
      <formula>B$9&gt;=20/24</formula>
    </cfRule>
    <cfRule type="expression" dxfId="3124" priority="28">
      <formula>AND(B$9&gt;=14/24,B$9&lt;20/24)</formula>
    </cfRule>
    <cfRule type="expression" dxfId="3123" priority="29">
      <formula>AND(B$9&gt;=8/24,B$9&lt;14/24)</formula>
    </cfRule>
    <cfRule type="expression" dxfId="3122" priority="30">
      <formula>B$9&lt;8/24</formula>
    </cfRule>
  </conditionalFormatting>
  <conditionalFormatting sqref="B39:B42 C42:AG42">
    <cfRule type="expression" dxfId="3121" priority="26">
      <formula>B39&gt;$AG39</formula>
    </cfRule>
  </conditionalFormatting>
  <conditionalFormatting sqref="C97:AF97">
    <cfRule type="expression" dxfId="3120" priority="22">
      <formula>C$9&gt;=20/24</formula>
    </cfRule>
    <cfRule type="expression" dxfId="3119" priority="23">
      <formula>AND(C$9&gt;=14/24,C$9&lt;20/24)</formula>
    </cfRule>
    <cfRule type="expression" dxfId="3118" priority="24">
      <formula>AND(C$9&gt;=8/24,C$9&lt;14/24)</formula>
    </cfRule>
    <cfRule type="expression" dxfId="3117" priority="25">
      <formula>C$9&lt;8/24</formula>
    </cfRule>
  </conditionalFormatting>
  <conditionalFormatting sqref="B97">
    <cfRule type="expression" dxfId="3116" priority="18">
      <formula>B$9&gt;=20/24</formula>
    </cfRule>
    <cfRule type="expression" dxfId="3115" priority="19">
      <formula>AND(B$9&gt;=14/24,B$9&lt;20/24)</formula>
    </cfRule>
    <cfRule type="expression" dxfId="3114" priority="20">
      <formula>AND(B$9&gt;=8/24,B$9&lt;14/24)</formula>
    </cfRule>
    <cfRule type="expression" dxfId="3113" priority="21">
      <formula>B$9&lt;8/24</formula>
    </cfRule>
  </conditionalFormatting>
  <conditionalFormatting sqref="AL31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112" priority="12">
      <formula>$AH31=0</formula>
    </cfRule>
  </conditionalFormatting>
  <conditionalFormatting sqref="A80">
    <cfRule type="expression" dxfId="3111" priority="10">
      <formula>$AH80=0</formula>
    </cfRule>
  </conditionalFormatting>
  <conditionalFormatting sqref="A77">
    <cfRule type="expression" dxfId="3110" priority="11">
      <formula>$AH77=0</formula>
    </cfRule>
  </conditionalFormatting>
  <conditionalFormatting sqref="A106">
    <cfRule type="expression" dxfId="3109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28B48277-66A5-479B-90C1-33A13221674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6332C382-80A0-4D7F-84DF-6ADFE4A4849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4F4B847A-B646-4086-8690-0CFD63A586F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5B1B29AC-1B67-4C98-8202-A9464428C3D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B00C310E-9E69-49FB-B8B0-D27ABE98D9F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08B38338-B497-48FC-B058-46838206A48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87ED9F20-7835-457A-9B60-1601A00315F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D777011E-D043-4BE2-9212-602D99C1AFF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4DCA0333-FCDE-4DD7-AECD-91F1B3A59A6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05F850EF-65CA-441C-9B05-F2B3F912C7F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52EA0E8B-CC09-4CCA-B871-758E94C52C3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00135C43-554C-48C7-97FE-1D9940D90A0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CJ493"/>
  <sheetViews>
    <sheetView zoomScale="90" zoomScaleNormal="90" workbookViewId="0">
      <pane xSplit="1" ySplit="10" topLeftCell="B81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2079/02/23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5</v>
      </c>
      <c r="C5" s="205">
        <f t="shared" si="0"/>
        <v>5</v>
      </c>
      <c r="D5" s="205">
        <f t="shared" si="0"/>
        <v>5</v>
      </c>
      <c r="E5" s="205">
        <f t="shared" si="0"/>
        <v>5</v>
      </c>
      <c r="F5" s="205">
        <f t="shared" si="0"/>
        <v>5</v>
      </c>
      <c r="G5" s="205">
        <f t="shared" si="0"/>
        <v>5</v>
      </c>
      <c r="H5" s="205">
        <f t="shared" si="0"/>
        <v>5</v>
      </c>
      <c r="I5" s="205">
        <f t="shared" si="0"/>
        <v>5</v>
      </c>
      <c r="J5" s="205">
        <f t="shared" si="0"/>
        <v>5</v>
      </c>
      <c r="K5" s="205">
        <f t="shared" si="0"/>
        <v>5</v>
      </c>
      <c r="L5" s="205">
        <f t="shared" si="0"/>
        <v>4</v>
      </c>
      <c r="M5" s="205">
        <f t="shared" si="0"/>
        <v>4</v>
      </c>
      <c r="N5" s="205">
        <f t="shared" si="0"/>
        <v>4</v>
      </c>
      <c r="O5" s="205">
        <f t="shared" si="0"/>
        <v>16</v>
      </c>
      <c r="P5" s="205">
        <f t="shared" si="0"/>
        <v>20</v>
      </c>
      <c r="Q5" s="205">
        <f t="shared" si="0"/>
        <v>40.799999999999997</v>
      </c>
      <c r="R5" s="205">
        <f t="shared" si="0"/>
        <v>33</v>
      </c>
      <c r="S5" s="205">
        <f t="shared" si="0"/>
        <v>33</v>
      </c>
      <c r="T5" s="205">
        <f t="shared" si="0"/>
        <v>33</v>
      </c>
      <c r="U5" s="205">
        <f t="shared" si="0"/>
        <v>26</v>
      </c>
      <c r="V5" s="205">
        <f t="shared" si="0"/>
        <v>29</v>
      </c>
      <c r="W5" s="205">
        <f t="shared" si="0"/>
        <v>24</v>
      </c>
      <c r="X5" s="205">
        <f t="shared" si="0"/>
        <v>23.5</v>
      </c>
      <c r="Y5" s="205">
        <f t="shared" si="0"/>
        <v>72</v>
      </c>
      <c r="Z5" s="205">
        <f t="shared" si="0"/>
        <v>73</v>
      </c>
      <c r="AA5" s="205">
        <f t="shared" si="0"/>
        <v>54.9</v>
      </c>
      <c r="AB5" s="205">
        <f t="shared" si="0"/>
        <v>54.9</v>
      </c>
      <c r="AC5" s="205">
        <f t="shared" si="0"/>
        <v>51.9</v>
      </c>
      <c r="AD5" s="205">
        <f t="shared" si="0"/>
        <v>49.1</v>
      </c>
      <c r="AE5" s="205">
        <f t="shared" si="0"/>
        <v>6</v>
      </c>
      <c r="AF5" s="205">
        <f>B72</f>
        <v>5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1802MW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Load=1712</v>
      </c>
      <c r="B7" s="210">
        <f>B79</f>
        <v>1744.14</v>
      </c>
      <c r="C7" s="210">
        <f t="shared" ref="C7:AF7" si="1">C79</f>
        <v>1739.44</v>
      </c>
      <c r="D7" s="210">
        <f t="shared" si="1"/>
        <v>1729.1399999999999</v>
      </c>
      <c r="E7" s="210">
        <f t="shared" si="1"/>
        <v>1724.1399999999999</v>
      </c>
      <c r="F7" s="210">
        <f t="shared" si="1"/>
        <v>1722.64</v>
      </c>
      <c r="G7" s="210">
        <f t="shared" si="1"/>
        <v>1722.64</v>
      </c>
      <c r="H7" s="210">
        <f t="shared" si="1"/>
        <v>1722.64</v>
      </c>
      <c r="I7" s="210">
        <f t="shared" si="1"/>
        <v>1733.64</v>
      </c>
      <c r="J7" s="210">
        <f t="shared" si="1"/>
        <v>1756.24</v>
      </c>
      <c r="K7" s="210">
        <f t="shared" si="1"/>
        <v>1756.24</v>
      </c>
      <c r="L7" s="210">
        <f t="shared" si="1"/>
        <v>1759.24</v>
      </c>
      <c r="M7" s="210">
        <f t="shared" si="1"/>
        <v>1797.44</v>
      </c>
      <c r="N7" s="210">
        <f t="shared" si="1"/>
        <v>1801.54</v>
      </c>
      <c r="O7" s="210">
        <f t="shared" si="1"/>
        <v>1814.5400000000002</v>
      </c>
      <c r="P7" s="210">
        <f t="shared" si="1"/>
        <v>1773.74</v>
      </c>
      <c r="Q7" s="210">
        <f t="shared" si="1"/>
        <v>1770.34</v>
      </c>
      <c r="R7" s="210">
        <f t="shared" si="1"/>
        <v>1715.04</v>
      </c>
      <c r="S7" s="210">
        <f t="shared" si="1"/>
        <v>1712.34</v>
      </c>
      <c r="T7" s="210">
        <f t="shared" si="1"/>
        <v>1788.34</v>
      </c>
      <c r="U7" s="210">
        <f t="shared" si="1"/>
        <v>1788.34</v>
      </c>
      <c r="V7" s="210">
        <f t="shared" si="1"/>
        <v>1781.34</v>
      </c>
      <c r="W7" s="210">
        <f t="shared" si="1"/>
        <v>1784.34</v>
      </c>
      <c r="X7" s="210">
        <f t="shared" si="1"/>
        <v>1779.34</v>
      </c>
      <c r="Y7" s="210">
        <f t="shared" si="1"/>
        <v>1836.1399999999999</v>
      </c>
      <c r="Z7" s="210">
        <f t="shared" si="1"/>
        <v>1910.1399999999999</v>
      </c>
      <c r="AA7" s="210">
        <f t="shared" si="1"/>
        <v>1901.2399999999998</v>
      </c>
      <c r="AB7" s="210">
        <f t="shared" si="1"/>
        <v>1875.14</v>
      </c>
      <c r="AC7" s="210">
        <f t="shared" si="1"/>
        <v>1891.8400000000001</v>
      </c>
      <c r="AD7" s="210">
        <f t="shared" si="1"/>
        <v>1888.8400000000001</v>
      </c>
      <c r="AE7" s="210">
        <f t="shared" si="1"/>
        <v>1855.04</v>
      </c>
      <c r="AF7" s="210">
        <f t="shared" si="1"/>
        <v>1761.24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4">
        <v>53.2</v>
      </c>
      <c r="C11" s="224">
        <v>53.1</v>
      </c>
      <c r="D11" s="224">
        <v>53.1</v>
      </c>
      <c r="E11" s="224">
        <v>53.1</v>
      </c>
      <c r="F11" s="224">
        <v>53.1</v>
      </c>
      <c r="G11" s="224">
        <v>53.1</v>
      </c>
      <c r="H11" s="224">
        <v>53.1</v>
      </c>
      <c r="I11" s="224">
        <v>53.1</v>
      </c>
      <c r="J11" s="224">
        <v>53.1</v>
      </c>
      <c r="K11" s="224">
        <v>53.1</v>
      </c>
      <c r="L11" s="224">
        <v>53.1</v>
      </c>
      <c r="M11" s="221">
        <v>53.1</v>
      </c>
      <c r="N11" s="221">
        <v>53</v>
      </c>
      <c r="O11" s="221">
        <v>53</v>
      </c>
      <c r="P11" s="221">
        <v>53</v>
      </c>
      <c r="Q11" s="221">
        <v>53</v>
      </c>
      <c r="R11" s="221">
        <v>53</v>
      </c>
      <c r="S11" s="221">
        <v>53</v>
      </c>
      <c r="T11" s="221">
        <v>53</v>
      </c>
      <c r="U11" s="221">
        <v>53</v>
      </c>
      <c r="V11" s="221">
        <v>53</v>
      </c>
      <c r="W11" s="221">
        <v>53</v>
      </c>
      <c r="X11" s="221">
        <v>53</v>
      </c>
      <c r="Y11" s="221">
        <v>53</v>
      </c>
      <c r="Z11" s="221">
        <v>53</v>
      </c>
      <c r="AA11" s="221">
        <v>53</v>
      </c>
      <c r="AB11" s="221">
        <v>53.1</v>
      </c>
      <c r="AC11" s="224">
        <v>53.2</v>
      </c>
      <c r="AD11" s="224">
        <v>53.2</v>
      </c>
      <c r="AE11" s="224">
        <v>53.2</v>
      </c>
      <c r="AF11" s="224">
        <v>53.1</v>
      </c>
      <c r="AG11" s="225">
        <v>52.4</v>
      </c>
      <c r="AH11" s="226">
        <f>MAX(B11:AF11)</f>
        <v>53.2</v>
      </c>
      <c r="AI11" s="227">
        <f>MIN(B11:AF11)</f>
        <v>53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50.7</v>
      </c>
      <c r="C12" s="221">
        <v>50.7</v>
      </c>
      <c r="D12" s="221">
        <v>50.4</v>
      </c>
      <c r="E12" s="221">
        <v>50.4</v>
      </c>
      <c r="F12" s="221">
        <v>50.4</v>
      </c>
      <c r="G12" s="221">
        <v>50.4</v>
      </c>
      <c r="H12" s="221">
        <v>50.4</v>
      </c>
      <c r="I12" s="221">
        <v>50.4</v>
      </c>
      <c r="J12" s="221">
        <v>50.4</v>
      </c>
      <c r="K12" s="221">
        <v>50.4</v>
      </c>
      <c r="L12" s="221">
        <v>50.4</v>
      </c>
      <c r="M12" s="221">
        <v>50.4</v>
      </c>
      <c r="N12" s="221">
        <v>50.5</v>
      </c>
      <c r="O12" s="221">
        <v>50.5</v>
      </c>
      <c r="P12" s="221">
        <v>50.5</v>
      </c>
      <c r="Q12" s="221">
        <v>50.5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50.5</v>
      </c>
      <c r="W12" s="221">
        <v>50.5</v>
      </c>
      <c r="X12" s="221">
        <v>50.5</v>
      </c>
      <c r="Y12" s="221">
        <v>50.5</v>
      </c>
      <c r="Z12" s="221">
        <v>50.5</v>
      </c>
      <c r="AA12" s="221">
        <v>50.5</v>
      </c>
      <c r="AB12" s="221">
        <v>50.4</v>
      </c>
      <c r="AC12" s="221">
        <v>50.2</v>
      </c>
      <c r="AD12" s="221">
        <v>50.2</v>
      </c>
      <c r="AE12" s="221">
        <v>50.4</v>
      </c>
      <c r="AF12" s="221">
        <v>50.5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46.2</v>
      </c>
      <c r="C13" s="221">
        <v>46</v>
      </c>
      <c r="D13" s="221">
        <v>46.1</v>
      </c>
      <c r="E13" s="221">
        <v>46.1</v>
      </c>
      <c r="F13" s="221">
        <v>46.1</v>
      </c>
      <c r="G13" s="221">
        <v>46.1</v>
      </c>
      <c r="H13" s="221">
        <v>46.1</v>
      </c>
      <c r="I13" s="221">
        <v>46.1</v>
      </c>
      <c r="J13" s="221">
        <v>46.1</v>
      </c>
      <c r="K13" s="221">
        <v>46.1</v>
      </c>
      <c r="L13" s="221">
        <v>46.1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45.8</v>
      </c>
      <c r="AD13" s="221">
        <v>45.8</v>
      </c>
      <c r="AE13" s="221">
        <v>46</v>
      </c>
      <c r="AF13" s="221">
        <v>46</v>
      </c>
      <c r="AG13" s="229">
        <v>45</v>
      </c>
      <c r="AH13" s="226">
        <f t="shared" si="2"/>
        <v>46.2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30</v>
      </c>
      <c r="D14" s="221">
        <v>30</v>
      </c>
      <c r="E14" s="221">
        <v>30</v>
      </c>
      <c r="F14" s="221">
        <v>28</v>
      </c>
      <c r="G14" s="221">
        <v>28</v>
      </c>
      <c r="H14" s="221">
        <v>28</v>
      </c>
      <c r="I14" s="221">
        <v>35</v>
      </c>
      <c r="J14" s="221">
        <v>38</v>
      </c>
      <c r="K14" s="221">
        <v>38</v>
      </c>
      <c r="L14" s="221">
        <v>41</v>
      </c>
      <c r="M14" s="221">
        <v>38</v>
      </c>
      <c r="N14" s="221">
        <v>35</v>
      </c>
      <c r="O14" s="221">
        <v>35</v>
      </c>
      <c r="P14" s="221">
        <v>35</v>
      </c>
      <c r="Q14" s="221">
        <v>30</v>
      </c>
      <c r="R14" s="221">
        <v>30</v>
      </c>
      <c r="S14" s="221">
        <v>30</v>
      </c>
      <c r="T14" s="221">
        <v>30</v>
      </c>
      <c r="U14" s="221">
        <v>30</v>
      </c>
      <c r="V14" s="221">
        <v>30</v>
      </c>
      <c r="W14" s="221">
        <v>30</v>
      </c>
      <c r="X14" s="221">
        <v>30</v>
      </c>
      <c r="Y14" s="221">
        <v>38</v>
      </c>
      <c r="Z14" s="221">
        <v>38</v>
      </c>
      <c r="AA14" s="221">
        <v>36</v>
      </c>
      <c r="AB14" s="221">
        <v>36</v>
      </c>
      <c r="AC14" s="221">
        <v>36</v>
      </c>
      <c r="AD14" s="221">
        <v>36</v>
      </c>
      <c r="AE14" s="221">
        <v>36</v>
      </c>
      <c r="AF14" s="221">
        <v>32</v>
      </c>
      <c r="AG14" s="229">
        <v>42</v>
      </c>
      <c r="AH14" s="226">
        <f t="shared" si="2"/>
        <v>41</v>
      </c>
      <c r="AI14" s="227">
        <f t="shared" si="3"/>
        <v>28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25</v>
      </c>
      <c r="D15" s="221">
        <v>15</v>
      </c>
      <c r="E15" s="221">
        <v>10</v>
      </c>
      <c r="F15" s="221">
        <v>10</v>
      </c>
      <c r="G15" s="221">
        <v>10</v>
      </c>
      <c r="H15" s="221">
        <v>10</v>
      </c>
      <c r="I15" s="221">
        <v>15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10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25.1</v>
      </c>
      <c r="C16" s="221">
        <v>25.1</v>
      </c>
      <c r="D16" s="221">
        <v>25</v>
      </c>
      <c r="E16" s="221">
        <v>25</v>
      </c>
      <c r="F16" s="221">
        <v>25</v>
      </c>
      <c r="G16" s="221">
        <v>25</v>
      </c>
      <c r="H16" s="221">
        <v>25</v>
      </c>
      <c r="I16" s="221">
        <v>24</v>
      </c>
      <c r="J16" s="221">
        <v>23.6</v>
      </c>
      <c r="K16" s="221">
        <v>23.6</v>
      </c>
      <c r="L16" s="221">
        <v>23.6</v>
      </c>
      <c r="M16" s="221">
        <v>24.6</v>
      </c>
      <c r="N16" s="221">
        <v>24.6</v>
      </c>
      <c r="O16" s="221">
        <v>24.6</v>
      </c>
      <c r="P16" s="221">
        <v>24.6</v>
      </c>
      <c r="Q16" s="221">
        <v>24.6</v>
      </c>
      <c r="R16" s="221">
        <v>24.6</v>
      </c>
      <c r="S16" s="221">
        <v>24.6</v>
      </c>
      <c r="T16" s="221">
        <v>24.6</v>
      </c>
      <c r="U16" s="221">
        <v>24.6</v>
      </c>
      <c r="V16" s="221">
        <v>24.6</v>
      </c>
      <c r="W16" s="221">
        <v>24.6</v>
      </c>
      <c r="X16" s="221">
        <v>24.6</v>
      </c>
      <c r="Y16" s="221">
        <v>24.6</v>
      </c>
      <c r="Z16" s="221">
        <v>24.6</v>
      </c>
      <c r="AA16" s="221">
        <v>24.6</v>
      </c>
      <c r="AB16" s="221">
        <v>25.2</v>
      </c>
      <c r="AC16" s="221">
        <v>25.3</v>
      </c>
      <c r="AD16" s="221">
        <v>25.3</v>
      </c>
      <c r="AE16" s="221">
        <v>25.1</v>
      </c>
      <c r="AF16" s="221">
        <v>25.3</v>
      </c>
      <c r="AG16" s="229">
        <v>25</v>
      </c>
      <c r="AH16" s="226">
        <f t="shared" si="2"/>
        <v>25.3</v>
      </c>
      <c r="AI16" s="227">
        <f t="shared" si="3"/>
        <v>23.6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0</v>
      </c>
      <c r="C17" s="221">
        <v>0</v>
      </c>
      <c r="D17" s="221">
        <v>0</v>
      </c>
      <c r="E17" s="221">
        <v>0</v>
      </c>
      <c r="F17" s="221">
        <v>0</v>
      </c>
      <c r="G17" s="221">
        <v>0</v>
      </c>
      <c r="H17" s="221">
        <v>0</v>
      </c>
      <c r="I17" s="221">
        <v>0</v>
      </c>
      <c r="J17" s="221">
        <v>0</v>
      </c>
      <c r="K17" s="221">
        <v>0</v>
      </c>
      <c r="L17" s="221">
        <v>0</v>
      </c>
      <c r="M17" s="221">
        <v>0</v>
      </c>
      <c r="N17" s="221">
        <v>0</v>
      </c>
      <c r="O17" s="221">
        <v>0</v>
      </c>
      <c r="P17" s="221">
        <v>0</v>
      </c>
      <c r="Q17" s="221">
        <v>0</v>
      </c>
      <c r="R17" s="221">
        <v>0</v>
      </c>
      <c r="S17" s="221">
        <v>0</v>
      </c>
      <c r="T17" s="221">
        <v>0</v>
      </c>
      <c r="U17" s="221">
        <v>0</v>
      </c>
      <c r="V17" s="221">
        <v>0</v>
      </c>
      <c r="W17" s="221">
        <v>0</v>
      </c>
      <c r="X17" s="221">
        <v>0</v>
      </c>
      <c r="Y17" s="221">
        <v>0</v>
      </c>
      <c r="Z17" s="221">
        <v>0</v>
      </c>
      <c r="AA17" s="221">
        <v>0</v>
      </c>
      <c r="AB17" s="221">
        <v>0</v>
      </c>
      <c r="AC17" s="221">
        <v>0</v>
      </c>
      <c r="AD17" s="221">
        <v>0</v>
      </c>
      <c r="AE17" s="221">
        <v>0</v>
      </c>
      <c r="AF17" s="221">
        <v>0</v>
      </c>
      <c r="AG17" s="229">
        <v>25</v>
      </c>
      <c r="AH17" s="226">
        <f t="shared" si="2"/>
        <v>0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33.200000000000003</v>
      </c>
      <c r="E19" s="221">
        <v>33.200000000000003</v>
      </c>
      <c r="F19" s="221">
        <v>33.200000000000003</v>
      </c>
      <c r="G19" s="221">
        <v>33.200000000000003</v>
      </c>
      <c r="H19" s="221">
        <v>33.200000000000003</v>
      </c>
      <c r="I19" s="221">
        <v>33.200000000000003</v>
      </c>
      <c r="J19" s="221">
        <v>33.200000000000003</v>
      </c>
      <c r="K19" s="221">
        <v>33.200000000000003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33.200000000000003</v>
      </c>
      <c r="AI19" s="227">
        <f t="shared" si="3"/>
        <v>33.200000000000003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23.5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23.5</v>
      </c>
      <c r="R20" s="221">
        <v>23.5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23.5</v>
      </c>
      <c r="AE20" s="221">
        <v>23.5</v>
      </c>
      <c r="AF20" s="221">
        <v>23.5</v>
      </c>
      <c r="AG20" s="229">
        <v>23.5</v>
      </c>
      <c r="AH20" s="226">
        <f t="shared" si="2"/>
        <v>23.5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10</v>
      </c>
      <c r="C22" s="221">
        <v>10</v>
      </c>
      <c r="D22" s="221">
        <v>10</v>
      </c>
      <c r="E22" s="221">
        <v>10</v>
      </c>
      <c r="F22" s="221">
        <v>10</v>
      </c>
      <c r="G22" s="221">
        <v>10</v>
      </c>
      <c r="H22" s="221">
        <v>10</v>
      </c>
      <c r="I22" s="221">
        <v>10</v>
      </c>
      <c r="J22" s="221">
        <v>10</v>
      </c>
      <c r="K22" s="221">
        <v>10</v>
      </c>
      <c r="L22" s="221">
        <v>10</v>
      </c>
      <c r="M22" s="221">
        <v>10</v>
      </c>
      <c r="N22" s="221">
        <v>10</v>
      </c>
      <c r="O22" s="221">
        <v>10</v>
      </c>
      <c r="P22" s="221">
        <v>10</v>
      </c>
      <c r="Q22" s="221">
        <v>10</v>
      </c>
      <c r="R22" s="221">
        <v>10</v>
      </c>
      <c r="S22" s="221">
        <v>10</v>
      </c>
      <c r="T22" s="221">
        <v>10</v>
      </c>
      <c r="U22" s="221">
        <v>10</v>
      </c>
      <c r="V22" s="221">
        <v>10</v>
      </c>
      <c r="W22" s="221">
        <v>10</v>
      </c>
      <c r="X22" s="221">
        <v>10</v>
      </c>
      <c r="Y22" s="221">
        <v>10</v>
      </c>
      <c r="Z22" s="221">
        <v>10</v>
      </c>
      <c r="AA22" s="221">
        <v>10</v>
      </c>
      <c r="AB22" s="221">
        <v>10</v>
      </c>
      <c r="AC22" s="221">
        <v>10</v>
      </c>
      <c r="AD22" s="221">
        <v>10</v>
      </c>
      <c r="AE22" s="221">
        <v>10</v>
      </c>
      <c r="AF22" s="221">
        <v>10</v>
      </c>
      <c r="AG22" s="229">
        <v>22.1</v>
      </c>
      <c r="AH22" s="226">
        <f t="shared" si="2"/>
        <v>10</v>
      </c>
      <c r="AI22" s="227">
        <f t="shared" si="3"/>
        <v>10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20</v>
      </c>
      <c r="AI24" s="227">
        <f t="shared" si="3"/>
        <v>20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5</v>
      </c>
      <c r="D25" s="221">
        <v>5</v>
      </c>
      <c r="E25" s="221">
        <v>5</v>
      </c>
      <c r="F25" s="221">
        <v>5</v>
      </c>
      <c r="G25" s="221">
        <v>5</v>
      </c>
      <c r="H25" s="221">
        <v>5</v>
      </c>
      <c r="I25" s="221">
        <v>5</v>
      </c>
      <c r="J25" s="221">
        <v>10</v>
      </c>
      <c r="K25" s="221">
        <v>10</v>
      </c>
      <c r="L25" s="221">
        <v>10</v>
      </c>
      <c r="M25" s="221">
        <v>10</v>
      </c>
      <c r="N25" s="221">
        <v>15</v>
      </c>
      <c r="O25" s="221">
        <v>10</v>
      </c>
      <c r="P25" s="221">
        <v>10</v>
      </c>
      <c r="Q25" s="221">
        <v>10</v>
      </c>
      <c r="R25" s="221">
        <v>10</v>
      </c>
      <c r="S25" s="221">
        <v>10</v>
      </c>
      <c r="T25" s="221">
        <v>10</v>
      </c>
      <c r="U25" s="221">
        <v>10</v>
      </c>
      <c r="V25" s="221">
        <v>10</v>
      </c>
      <c r="W25" s="221">
        <v>10</v>
      </c>
      <c r="X25" s="221">
        <v>10</v>
      </c>
      <c r="Y25" s="221">
        <v>10</v>
      </c>
      <c r="Z25" s="221">
        <v>10</v>
      </c>
      <c r="AA25" s="221">
        <v>10</v>
      </c>
      <c r="AB25" s="221">
        <v>10</v>
      </c>
      <c r="AC25" s="221">
        <v>10</v>
      </c>
      <c r="AD25" s="221">
        <v>10</v>
      </c>
      <c r="AE25" s="221">
        <v>10</v>
      </c>
      <c r="AF25" s="221">
        <v>10</v>
      </c>
      <c r="AG25" s="229">
        <v>20</v>
      </c>
      <c r="AH25" s="226">
        <f t="shared" si="2"/>
        <v>15</v>
      </c>
      <c r="AI25" s="227">
        <f t="shared" si="3"/>
        <v>5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7.8</v>
      </c>
      <c r="C26" s="221">
        <v>7.8</v>
      </c>
      <c r="D26" s="221">
        <v>7.8</v>
      </c>
      <c r="E26" s="221">
        <v>7.8</v>
      </c>
      <c r="F26" s="221">
        <v>7.8</v>
      </c>
      <c r="G26" s="221">
        <v>7.8</v>
      </c>
      <c r="H26" s="221">
        <v>7.8</v>
      </c>
      <c r="I26" s="221">
        <v>7.8</v>
      </c>
      <c r="J26" s="221">
        <v>7.8</v>
      </c>
      <c r="K26" s="221">
        <v>7.8</v>
      </c>
      <c r="L26" s="221">
        <v>7.8</v>
      </c>
      <c r="M26" s="221">
        <v>7.8</v>
      </c>
      <c r="N26" s="221">
        <v>7.8</v>
      </c>
      <c r="O26" s="221">
        <v>7.8</v>
      </c>
      <c r="P26" s="221">
        <v>7.8</v>
      </c>
      <c r="Q26" s="221">
        <v>7.8</v>
      </c>
      <c r="R26" s="221">
        <v>7.8</v>
      </c>
      <c r="S26" s="221">
        <v>7.8</v>
      </c>
      <c r="T26" s="221">
        <v>7.8</v>
      </c>
      <c r="U26" s="221">
        <v>7.8</v>
      </c>
      <c r="V26" s="221">
        <v>7.8</v>
      </c>
      <c r="W26" s="221">
        <v>7.8</v>
      </c>
      <c r="X26" s="221">
        <v>7.8</v>
      </c>
      <c r="Y26" s="221">
        <v>7.8</v>
      </c>
      <c r="Z26" s="221">
        <v>7.8</v>
      </c>
      <c r="AA26" s="221">
        <v>7.8</v>
      </c>
      <c r="AB26" s="221">
        <v>7.8</v>
      </c>
      <c r="AC26" s="221">
        <v>7.8</v>
      </c>
      <c r="AD26" s="221">
        <v>7.8</v>
      </c>
      <c r="AE26" s="221">
        <v>7.8</v>
      </c>
      <c r="AF26" s="221">
        <v>7.8</v>
      </c>
      <c r="AG26" s="229">
        <v>14.9</v>
      </c>
      <c r="AH26" s="226">
        <f t="shared" si="2"/>
        <v>7.8</v>
      </c>
      <c r="AI26" s="227">
        <f t="shared" si="3"/>
        <v>7.8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8</v>
      </c>
      <c r="C27" s="221">
        <v>8</v>
      </c>
      <c r="D27" s="221">
        <v>8</v>
      </c>
      <c r="E27" s="221">
        <v>8</v>
      </c>
      <c r="F27" s="221">
        <v>8</v>
      </c>
      <c r="G27" s="221">
        <v>8</v>
      </c>
      <c r="H27" s="221">
        <v>8</v>
      </c>
      <c r="I27" s="221">
        <v>8</v>
      </c>
      <c r="J27" s="221">
        <v>8</v>
      </c>
      <c r="K27" s="221">
        <v>8</v>
      </c>
      <c r="L27" s="221">
        <v>8</v>
      </c>
      <c r="M27" s="221">
        <v>8</v>
      </c>
      <c r="N27" s="221">
        <v>8</v>
      </c>
      <c r="O27" s="221">
        <v>8</v>
      </c>
      <c r="P27" s="221">
        <v>8</v>
      </c>
      <c r="Q27" s="221">
        <v>8</v>
      </c>
      <c r="R27" s="221">
        <v>8</v>
      </c>
      <c r="S27" s="221">
        <v>8</v>
      </c>
      <c r="T27" s="221">
        <v>8</v>
      </c>
      <c r="U27" s="221">
        <v>8</v>
      </c>
      <c r="V27" s="221">
        <v>8</v>
      </c>
      <c r="W27" s="221">
        <v>8</v>
      </c>
      <c r="X27" s="221">
        <v>8</v>
      </c>
      <c r="Y27" s="221">
        <v>8</v>
      </c>
      <c r="Z27" s="221">
        <v>8</v>
      </c>
      <c r="AA27" s="221">
        <v>8</v>
      </c>
      <c r="AB27" s="221">
        <v>8</v>
      </c>
      <c r="AC27" s="221">
        <v>8</v>
      </c>
      <c r="AD27" s="221">
        <v>8</v>
      </c>
      <c r="AE27" s="221">
        <v>8</v>
      </c>
      <c r="AF27" s="221">
        <v>8</v>
      </c>
      <c r="AG27" s="229">
        <v>13.6</v>
      </c>
      <c r="AH27" s="226">
        <f t="shared" si="2"/>
        <v>8</v>
      </c>
      <c r="AI27" s="227">
        <f t="shared" si="3"/>
        <v>8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11.5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4</v>
      </c>
      <c r="N35" s="221">
        <v>4</v>
      </c>
      <c r="O35" s="221">
        <v>4</v>
      </c>
      <c r="P35" s="221">
        <v>4</v>
      </c>
      <c r="Q35" s="221">
        <v>4</v>
      </c>
      <c r="R35" s="221">
        <v>4</v>
      </c>
      <c r="S35" s="221">
        <v>4</v>
      </c>
      <c r="T35" s="221">
        <v>4</v>
      </c>
      <c r="U35" s="221">
        <v>4</v>
      </c>
      <c r="V35" s="221">
        <v>4</v>
      </c>
      <c r="W35" s="221">
        <v>4</v>
      </c>
      <c r="X35" s="221">
        <v>4</v>
      </c>
      <c r="Y35" s="221">
        <v>4</v>
      </c>
      <c r="Z35" s="221">
        <v>4</v>
      </c>
      <c r="AA35" s="221">
        <v>4</v>
      </c>
      <c r="AB35" s="221">
        <v>4</v>
      </c>
      <c r="AC35" s="221">
        <v>4</v>
      </c>
      <c r="AD35" s="221">
        <v>4</v>
      </c>
      <c r="AE35" s="221">
        <v>4</v>
      </c>
      <c r="AF35" s="221">
        <v>4</v>
      </c>
      <c r="AG35" s="235">
        <v>10</v>
      </c>
      <c r="AH35" s="226">
        <f t="shared" si="2"/>
        <v>4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f>32.2+101.4</f>
        <v>133.60000000000002</v>
      </c>
      <c r="C37" s="239">
        <f>32.3+97.3</f>
        <v>129.6</v>
      </c>
      <c r="D37" s="239">
        <f>32.3+100.3</f>
        <v>132.6</v>
      </c>
      <c r="E37" s="237">
        <f>102.1+32.3</f>
        <v>134.39999999999998</v>
      </c>
      <c r="F37" s="237">
        <f>32.2+102.2</f>
        <v>134.4</v>
      </c>
      <c r="G37" s="237">
        <f>32.3+102.1</f>
        <v>134.39999999999998</v>
      </c>
      <c r="H37" s="237">
        <v>131</v>
      </c>
      <c r="I37" s="237">
        <v>128</v>
      </c>
      <c r="J37" s="237">
        <f>32+101</f>
        <v>133</v>
      </c>
      <c r="K37" s="237">
        <f>31.7+101</f>
        <v>132.69999999999999</v>
      </c>
      <c r="L37" s="237">
        <f>31.1+100.8</f>
        <v>131.9</v>
      </c>
      <c r="M37" s="237">
        <v>131.69999999999999</v>
      </c>
      <c r="N37" s="237">
        <f>132.5</f>
        <v>132.5</v>
      </c>
      <c r="O37" s="237">
        <v>132.69999999999999</v>
      </c>
      <c r="P37" s="237">
        <f>93.4+31.6</f>
        <v>125</v>
      </c>
      <c r="Q37" s="237">
        <f>93.7+32.3</f>
        <v>126</v>
      </c>
      <c r="R37" s="237">
        <f t="shared" ref="R37:AA37" si="4">94.1+32.3</f>
        <v>126.39999999999999</v>
      </c>
      <c r="S37" s="237">
        <f t="shared" si="4"/>
        <v>126.39999999999999</v>
      </c>
      <c r="T37" s="237">
        <f t="shared" si="4"/>
        <v>126.39999999999999</v>
      </c>
      <c r="U37" s="237">
        <f t="shared" si="4"/>
        <v>126.39999999999999</v>
      </c>
      <c r="V37" s="237">
        <f t="shared" si="4"/>
        <v>126.39999999999999</v>
      </c>
      <c r="W37" s="237">
        <f t="shared" si="4"/>
        <v>126.39999999999999</v>
      </c>
      <c r="X37" s="237">
        <f t="shared" si="4"/>
        <v>126.39999999999999</v>
      </c>
      <c r="Y37" s="237">
        <f t="shared" si="4"/>
        <v>126.39999999999999</v>
      </c>
      <c r="Z37" s="237">
        <f t="shared" si="4"/>
        <v>126.39999999999999</v>
      </c>
      <c r="AA37" s="237">
        <f t="shared" si="4"/>
        <v>126.39999999999999</v>
      </c>
      <c r="AB37" s="237">
        <f>32.8+99.9</f>
        <v>132.69999999999999</v>
      </c>
      <c r="AC37" s="239">
        <f>100.3+32.9</f>
        <v>133.19999999999999</v>
      </c>
      <c r="AD37" s="239">
        <f>100.6+33.2</f>
        <v>133.80000000000001</v>
      </c>
      <c r="AE37" s="239">
        <f>33.7+100.9</f>
        <v>134.60000000000002</v>
      </c>
      <c r="AF37" s="239">
        <f>34+102</f>
        <v>136</v>
      </c>
      <c r="AG37" s="235">
        <v>240</v>
      </c>
      <c r="AH37" s="226">
        <f t="shared" si="2"/>
        <v>136</v>
      </c>
      <c r="AI37" s="227">
        <f t="shared" si="3"/>
        <v>125</v>
      </c>
      <c r="AK37" s="228"/>
    </row>
    <row r="38" spans="1:88" ht="15.75" thickBot="1" x14ac:dyDescent="0.3">
      <c r="A38" s="240" t="s">
        <v>46</v>
      </c>
      <c r="B38" s="241">
        <f>SUM(B11:B36)</f>
        <v>766.2</v>
      </c>
      <c r="C38" s="241">
        <f t="shared" ref="C38:AG38" si="5">SUM(C11:C36)</f>
        <v>760.8</v>
      </c>
      <c r="D38" s="241">
        <f t="shared" si="5"/>
        <v>750.5</v>
      </c>
      <c r="E38" s="241">
        <f t="shared" si="5"/>
        <v>745.5</v>
      </c>
      <c r="F38" s="241">
        <f t="shared" si="5"/>
        <v>743.5</v>
      </c>
      <c r="G38" s="241">
        <f t="shared" si="5"/>
        <v>743.5</v>
      </c>
      <c r="H38" s="241">
        <f t="shared" si="5"/>
        <v>743.5</v>
      </c>
      <c r="I38" s="241">
        <f t="shared" si="5"/>
        <v>754.5</v>
      </c>
      <c r="J38" s="241">
        <f t="shared" si="5"/>
        <v>777.09999999999991</v>
      </c>
      <c r="K38" s="241">
        <f t="shared" si="5"/>
        <v>777.09999999999991</v>
      </c>
      <c r="L38" s="241">
        <f t="shared" si="5"/>
        <v>780.09999999999991</v>
      </c>
      <c r="M38" s="241">
        <f t="shared" si="5"/>
        <v>782</v>
      </c>
      <c r="N38" s="241">
        <f t="shared" si="5"/>
        <v>784</v>
      </c>
      <c r="O38" s="241">
        <f t="shared" si="5"/>
        <v>779</v>
      </c>
      <c r="P38" s="241">
        <f t="shared" si="5"/>
        <v>779</v>
      </c>
      <c r="Q38" s="241">
        <f t="shared" si="5"/>
        <v>774.1</v>
      </c>
      <c r="R38" s="241">
        <f t="shared" si="5"/>
        <v>774.1</v>
      </c>
      <c r="S38" s="241">
        <f t="shared" si="5"/>
        <v>774.1</v>
      </c>
      <c r="T38" s="241">
        <f t="shared" si="5"/>
        <v>774.1</v>
      </c>
      <c r="U38" s="241">
        <f t="shared" si="5"/>
        <v>774.1</v>
      </c>
      <c r="V38" s="241">
        <f t="shared" si="5"/>
        <v>774.1</v>
      </c>
      <c r="W38" s="241">
        <f t="shared" si="5"/>
        <v>774.1</v>
      </c>
      <c r="X38" s="241">
        <f t="shared" si="5"/>
        <v>774.1</v>
      </c>
      <c r="Y38" s="241">
        <f t="shared" si="5"/>
        <v>782.1</v>
      </c>
      <c r="Z38" s="241">
        <f t="shared" si="5"/>
        <v>782.1</v>
      </c>
      <c r="AA38" s="241">
        <f t="shared" si="5"/>
        <v>780.1</v>
      </c>
      <c r="AB38" s="241">
        <f t="shared" si="5"/>
        <v>780.7</v>
      </c>
      <c r="AC38" s="241">
        <f t="shared" si="5"/>
        <v>780.5</v>
      </c>
      <c r="AD38" s="241">
        <f t="shared" si="5"/>
        <v>780.5</v>
      </c>
      <c r="AE38" s="241">
        <f t="shared" ref="AE38:AF38" si="6">SUM(AE11:AE36)</f>
        <v>780.7</v>
      </c>
      <c r="AF38" s="241">
        <f t="shared" si="6"/>
        <v>776.9</v>
      </c>
      <c r="AG38" s="242">
        <f t="shared" si="5"/>
        <v>665.78</v>
      </c>
      <c r="AH38" s="226">
        <f t="shared" si="2"/>
        <v>784</v>
      </c>
      <c r="AI38" s="227">
        <f t="shared" si="3"/>
        <v>743.5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380</v>
      </c>
      <c r="S39" s="221">
        <v>380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7">SUM(C39:C41)</f>
        <v>538</v>
      </c>
      <c r="D42" s="241">
        <f t="shared" si="7"/>
        <v>538</v>
      </c>
      <c r="E42" s="241">
        <f t="shared" si="7"/>
        <v>538</v>
      </c>
      <c r="F42" s="241">
        <f t="shared" si="7"/>
        <v>538</v>
      </c>
      <c r="G42" s="241">
        <f t="shared" si="7"/>
        <v>538</v>
      </c>
      <c r="H42" s="241">
        <f t="shared" si="7"/>
        <v>538</v>
      </c>
      <c r="I42" s="241">
        <f t="shared" si="7"/>
        <v>538</v>
      </c>
      <c r="J42" s="241">
        <f t="shared" si="7"/>
        <v>538</v>
      </c>
      <c r="K42" s="241">
        <f t="shared" si="7"/>
        <v>538</v>
      </c>
      <c r="L42" s="241">
        <f t="shared" si="7"/>
        <v>538</v>
      </c>
      <c r="M42" s="241">
        <f t="shared" si="7"/>
        <v>538</v>
      </c>
      <c r="N42" s="241">
        <f t="shared" si="7"/>
        <v>538</v>
      </c>
      <c r="O42" s="241">
        <f t="shared" si="7"/>
        <v>538</v>
      </c>
      <c r="P42" s="241">
        <f t="shared" si="7"/>
        <v>538</v>
      </c>
      <c r="Q42" s="241">
        <f t="shared" si="7"/>
        <v>538</v>
      </c>
      <c r="R42" s="241">
        <f t="shared" si="7"/>
        <v>462</v>
      </c>
      <c r="S42" s="241">
        <f t="shared" si="7"/>
        <v>462</v>
      </c>
      <c r="T42" s="241">
        <f t="shared" si="7"/>
        <v>538</v>
      </c>
      <c r="U42" s="241">
        <f t="shared" si="7"/>
        <v>538</v>
      </c>
      <c r="V42" s="241">
        <f t="shared" si="7"/>
        <v>538</v>
      </c>
      <c r="W42" s="241">
        <f t="shared" si="7"/>
        <v>538</v>
      </c>
      <c r="X42" s="241">
        <f t="shared" si="7"/>
        <v>538</v>
      </c>
      <c r="Y42" s="241">
        <f t="shared" si="7"/>
        <v>538</v>
      </c>
      <c r="Z42" s="241">
        <f t="shared" si="7"/>
        <v>538</v>
      </c>
      <c r="AA42" s="241">
        <f t="shared" si="7"/>
        <v>538</v>
      </c>
      <c r="AB42" s="241">
        <f t="shared" si="7"/>
        <v>538</v>
      </c>
      <c r="AC42" s="241">
        <f t="shared" si="7"/>
        <v>538</v>
      </c>
      <c r="AD42" s="241">
        <f t="shared" si="7"/>
        <v>538</v>
      </c>
      <c r="AE42" s="241">
        <f t="shared" ref="AE42:AF42" si="8">SUM(AE39:AE41)</f>
        <v>538</v>
      </c>
      <c r="AF42" s="241">
        <f t="shared" si="8"/>
        <v>538</v>
      </c>
      <c r="AG42" s="242">
        <f t="shared" si="7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142.1</v>
      </c>
      <c r="C43" s="221">
        <v>142.19999999999999</v>
      </c>
      <c r="D43" s="221">
        <v>142.5</v>
      </c>
      <c r="E43" s="221">
        <v>142.5</v>
      </c>
      <c r="F43" s="221">
        <v>142.5</v>
      </c>
      <c r="G43" s="221">
        <v>142.5</v>
      </c>
      <c r="H43" s="221">
        <v>142.5</v>
      </c>
      <c r="I43" s="221">
        <v>142.5</v>
      </c>
      <c r="J43" s="221">
        <v>142.5</v>
      </c>
      <c r="K43" s="221">
        <v>142.5</v>
      </c>
      <c r="L43" s="221">
        <v>142.5</v>
      </c>
      <c r="M43" s="221">
        <v>142.69999999999999</v>
      </c>
      <c r="N43" s="221">
        <v>142</v>
      </c>
      <c r="O43" s="221">
        <v>143</v>
      </c>
      <c r="P43" s="221">
        <v>143</v>
      </c>
      <c r="Q43" s="221">
        <v>143.19999999999999</v>
      </c>
      <c r="R43" s="221">
        <v>143.1</v>
      </c>
      <c r="S43" s="221">
        <v>143.1</v>
      </c>
      <c r="T43" s="221">
        <v>143.1</v>
      </c>
      <c r="U43" s="221">
        <v>143.1</v>
      </c>
      <c r="V43" s="221">
        <v>143.1</v>
      </c>
      <c r="W43" s="221">
        <v>143.1</v>
      </c>
      <c r="X43" s="221">
        <v>143.1</v>
      </c>
      <c r="Y43" s="221">
        <v>143.1</v>
      </c>
      <c r="Z43" s="221">
        <v>143.1</v>
      </c>
      <c r="AA43" s="221">
        <v>143.1</v>
      </c>
      <c r="AB43" s="221">
        <v>143.30000000000001</v>
      </c>
      <c r="AC43" s="221">
        <v>143.30000000000001</v>
      </c>
      <c r="AD43" s="221">
        <v>143.30000000000001</v>
      </c>
      <c r="AE43" s="221">
        <v>143.69999999999999</v>
      </c>
      <c r="AF43" s="221">
        <v>143.69999999999999</v>
      </c>
      <c r="AG43" s="230">
        <v>144</v>
      </c>
      <c r="AH43" s="226">
        <f t="shared" si="2"/>
        <v>143.69999999999999</v>
      </c>
      <c r="AI43" s="227">
        <f t="shared" si="3"/>
        <v>142</v>
      </c>
      <c r="AK43" s="228"/>
    </row>
    <row r="44" spans="1:88" x14ac:dyDescent="0.25">
      <c r="A44" s="234" t="s">
        <v>52</v>
      </c>
      <c r="B44" s="245">
        <v>72.099999999999994</v>
      </c>
      <c r="C44" s="245">
        <v>73.3</v>
      </c>
      <c r="D44" s="245">
        <v>73.2</v>
      </c>
      <c r="E44" s="245">
        <v>73.2</v>
      </c>
      <c r="F44" s="245">
        <v>71.599999999999994</v>
      </c>
      <c r="G44" s="245">
        <v>71.599999999999994</v>
      </c>
      <c r="H44" s="245">
        <v>71.599999999999994</v>
      </c>
      <c r="I44" s="245">
        <v>71.599999999999994</v>
      </c>
      <c r="J44" s="245">
        <v>71.599999999999994</v>
      </c>
      <c r="K44" s="245">
        <v>71.599999999999994</v>
      </c>
      <c r="L44" s="245">
        <v>71.599999999999994</v>
      </c>
      <c r="M44" s="221">
        <v>71.599999999999994</v>
      </c>
      <c r="N44" s="221">
        <v>72.5</v>
      </c>
      <c r="O44" s="221">
        <v>72.599999999999994</v>
      </c>
      <c r="P44" s="221">
        <v>72.5</v>
      </c>
      <c r="Q44" s="221">
        <v>71.900000000000006</v>
      </c>
      <c r="R44" s="221">
        <v>71.900000000000006</v>
      </c>
      <c r="S44" s="221">
        <v>71.900000000000006</v>
      </c>
      <c r="T44" s="221">
        <v>71.900000000000006</v>
      </c>
      <c r="U44" s="221">
        <v>71.900000000000006</v>
      </c>
      <c r="V44" s="221">
        <v>71.900000000000006</v>
      </c>
      <c r="W44" s="221">
        <v>71.900000000000006</v>
      </c>
      <c r="X44" s="221">
        <v>71.900000000000006</v>
      </c>
      <c r="Y44" s="221">
        <v>71.900000000000006</v>
      </c>
      <c r="Z44" s="221">
        <v>71.900000000000006</v>
      </c>
      <c r="AA44" s="221">
        <v>71.900000000000006</v>
      </c>
      <c r="AB44" s="245">
        <v>71.599999999999994</v>
      </c>
      <c r="AC44" s="245">
        <v>72.099999999999994</v>
      </c>
      <c r="AD44" s="245">
        <v>72.099999999999994</v>
      </c>
      <c r="AE44" s="245">
        <v>73.099999999999994</v>
      </c>
      <c r="AF44" s="245">
        <v>72.7</v>
      </c>
      <c r="AG44" s="235">
        <v>70</v>
      </c>
      <c r="AH44" s="226">
        <f t="shared" si="2"/>
        <v>73.3</v>
      </c>
      <c r="AI44" s="227">
        <f t="shared" si="3"/>
        <v>71.599999999999994</v>
      </c>
      <c r="AK44" s="228"/>
    </row>
    <row r="45" spans="1:88" x14ac:dyDescent="0.25">
      <c r="A45" s="234" t="s">
        <v>53</v>
      </c>
      <c r="B45" s="245">
        <v>64.3</v>
      </c>
      <c r="C45" s="245">
        <v>63.5</v>
      </c>
      <c r="D45" s="245">
        <v>64.2</v>
      </c>
      <c r="E45" s="245">
        <v>64.2</v>
      </c>
      <c r="F45" s="245">
        <v>64.900000000000006</v>
      </c>
      <c r="G45" s="245">
        <v>64.900000000000006</v>
      </c>
      <c r="H45" s="245">
        <v>64.900000000000006</v>
      </c>
      <c r="I45" s="245">
        <v>64.900000000000006</v>
      </c>
      <c r="J45" s="245">
        <v>64.900000000000006</v>
      </c>
      <c r="K45" s="245">
        <v>64.900000000000006</v>
      </c>
      <c r="L45" s="245">
        <v>64.900000000000006</v>
      </c>
      <c r="M45" s="221">
        <v>64.3</v>
      </c>
      <c r="N45" s="221">
        <v>64.400000000000006</v>
      </c>
      <c r="O45" s="221">
        <v>64.900000000000006</v>
      </c>
      <c r="P45" s="221">
        <v>64.400000000000006</v>
      </c>
      <c r="Q45" s="221">
        <v>64.599999999999994</v>
      </c>
      <c r="R45" s="221">
        <v>64.599999999999994</v>
      </c>
      <c r="S45" s="221">
        <v>64.599999999999994</v>
      </c>
      <c r="T45" s="221">
        <v>64.599999999999994</v>
      </c>
      <c r="U45" s="221">
        <v>64.599999999999994</v>
      </c>
      <c r="V45" s="221">
        <v>64.599999999999994</v>
      </c>
      <c r="W45" s="221">
        <v>64.599999999999994</v>
      </c>
      <c r="X45" s="221">
        <v>64.599999999999994</v>
      </c>
      <c r="Y45" s="221">
        <v>64.599999999999994</v>
      </c>
      <c r="Z45" s="221">
        <v>64.599999999999994</v>
      </c>
      <c r="AA45" s="221">
        <v>64.599999999999994</v>
      </c>
      <c r="AB45" s="245">
        <v>64.2</v>
      </c>
      <c r="AC45" s="245">
        <v>64.2</v>
      </c>
      <c r="AD45" s="245">
        <v>64.2</v>
      </c>
      <c r="AE45" s="245">
        <v>65.099999999999994</v>
      </c>
      <c r="AF45" s="245">
        <v>64.2</v>
      </c>
      <c r="AG45" s="235">
        <v>69</v>
      </c>
      <c r="AH45" s="226">
        <f t="shared" si="2"/>
        <v>65.099999999999994</v>
      </c>
      <c r="AI45" s="227">
        <f t="shared" si="3"/>
        <v>63.5</v>
      </c>
      <c r="AK45" s="228"/>
    </row>
    <row r="46" spans="1:88" x14ac:dyDescent="0.25">
      <c r="A46" s="234" t="s">
        <v>54</v>
      </c>
      <c r="B46" s="237">
        <v>60.7</v>
      </c>
      <c r="C46" s="237">
        <v>60.7</v>
      </c>
      <c r="D46" s="237">
        <v>59.7</v>
      </c>
      <c r="E46" s="237">
        <v>59.7</v>
      </c>
      <c r="F46" s="237">
        <v>60.9</v>
      </c>
      <c r="G46" s="237">
        <v>60.9</v>
      </c>
      <c r="H46" s="237">
        <v>60.9</v>
      </c>
      <c r="I46" s="237">
        <v>60.9</v>
      </c>
      <c r="J46" s="237">
        <v>60.9</v>
      </c>
      <c r="K46" s="237">
        <v>60.9</v>
      </c>
      <c r="L46" s="237">
        <v>60.9</v>
      </c>
      <c r="M46" s="221">
        <v>60.9</v>
      </c>
      <c r="N46" s="221">
        <v>60.9</v>
      </c>
      <c r="O46" s="221">
        <v>60.7</v>
      </c>
      <c r="P46" s="221">
        <v>60.9</v>
      </c>
      <c r="Q46" s="221">
        <v>60.9</v>
      </c>
      <c r="R46" s="221">
        <v>60.9</v>
      </c>
      <c r="S46" s="221">
        <v>60.9</v>
      </c>
      <c r="T46" s="221">
        <v>60.9</v>
      </c>
      <c r="U46" s="221">
        <v>60.9</v>
      </c>
      <c r="V46" s="221">
        <v>60.9</v>
      </c>
      <c r="W46" s="221">
        <v>60.9</v>
      </c>
      <c r="X46" s="221">
        <v>60.9</v>
      </c>
      <c r="Y46" s="221">
        <v>60.9</v>
      </c>
      <c r="Z46" s="221">
        <v>60.9</v>
      </c>
      <c r="AA46" s="221">
        <v>60.9</v>
      </c>
      <c r="AB46" s="237">
        <v>60.9</v>
      </c>
      <c r="AC46" s="237">
        <v>60.9</v>
      </c>
      <c r="AD46" s="237">
        <v>60.9</v>
      </c>
      <c r="AE46" s="237">
        <v>61.2</v>
      </c>
      <c r="AF46" s="237">
        <v>61.2</v>
      </c>
      <c r="AG46" s="235">
        <v>60</v>
      </c>
      <c r="AH46" s="226">
        <f t="shared" si="2"/>
        <v>61.2</v>
      </c>
      <c r="AI46" s="227">
        <f t="shared" si="3"/>
        <v>59.7</v>
      </c>
      <c r="AK46" s="228"/>
    </row>
    <row r="47" spans="1:88" x14ac:dyDescent="0.25">
      <c r="A47" s="234" t="s">
        <v>55</v>
      </c>
      <c r="B47" s="237">
        <v>28.9</v>
      </c>
      <c r="C47" s="237">
        <v>28.9</v>
      </c>
      <c r="D47" s="237">
        <v>28.9</v>
      </c>
      <c r="E47" s="237">
        <v>28.9</v>
      </c>
      <c r="F47" s="237">
        <v>29.1</v>
      </c>
      <c r="G47" s="237">
        <v>29.1</v>
      </c>
      <c r="H47" s="237">
        <v>29.1</v>
      </c>
      <c r="I47" s="237">
        <v>29.1</v>
      </c>
      <c r="J47" s="237">
        <v>29.1</v>
      </c>
      <c r="K47" s="237">
        <v>29.1</v>
      </c>
      <c r="L47" s="237">
        <v>29.1</v>
      </c>
      <c r="M47" s="221">
        <v>29</v>
      </c>
      <c r="N47" s="221">
        <v>28.9</v>
      </c>
      <c r="O47" s="221">
        <v>28.8</v>
      </c>
      <c r="P47" s="221">
        <v>28.8</v>
      </c>
      <c r="Q47" s="221">
        <v>28.8</v>
      </c>
      <c r="R47" s="221">
        <v>28.8</v>
      </c>
      <c r="S47" s="221">
        <v>28.8</v>
      </c>
      <c r="T47" s="221">
        <v>28.8</v>
      </c>
      <c r="U47" s="221">
        <v>28.8</v>
      </c>
      <c r="V47" s="221">
        <v>28.8</v>
      </c>
      <c r="W47" s="221">
        <v>28.8</v>
      </c>
      <c r="X47" s="221">
        <v>28.8</v>
      </c>
      <c r="Y47" s="221">
        <v>28.8</v>
      </c>
      <c r="Z47" s="221">
        <v>28.8</v>
      </c>
      <c r="AA47" s="221">
        <v>28.8</v>
      </c>
      <c r="AB47" s="237">
        <v>30</v>
      </c>
      <c r="AC47" s="237">
        <v>30</v>
      </c>
      <c r="AD47" s="237">
        <v>30</v>
      </c>
      <c r="AE47" s="237">
        <v>30</v>
      </c>
      <c r="AF47" s="237">
        <v>30</v>
      </c>
      <c r="AG47" s="235">
        <v>30</v>
      </c>
      <c r="AH47" s="226">
        <f t="shared" si="2"/>
        <v>30</v>
      </c>
      <c r="AI47" s="227">
        <f t="shared" si="3"/>
        <v>28.8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5</v>
      </c>
      <c r="N48" s="221">
        <v>7</v>
      </c>
      <c r="O48" s="221">
        <v>7</v>
      </c>
      <c r="P48" s="221">
        <v>7</v>
      </c>
      <c r="Q48" s="221">
        <v>7</v>
      </c>
      <c r="R48" s="221">
        <v>7</v>
      </c>
      <c r="S48" s="221">
        <v>7</v>
      </c>
      <c r="T48" s="221">
        <v>7</v>
      </c>
      <c r="U48" s="221">
        <v>7</v>
      </c>
      <c r="V48" s="221">
        <v>7</v>
      </c>
      <c r="W48" s="221">
        <v>7</v>
      </c>
      <c r="X48" s="221">
        <v>7</v>
      </c>
      <c r="Y48" s="221">
        <v>7</v>
      </c>
      <c r="Z48" s="221">
        <v>7</v>
      </c>
      <c r="AA48" s="221">
        <v>7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7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17.399999999999999</v>
      </c>
      <c r="C49" s="245">
        <v>17.399999999999999</v>
      </c>
      <c r="D49" s="245">
        <v>17.399999999999999</v>
      </c>
      <c r="E49" s="245">
        <v>17.399999999999999</v>
      </c>
      <c r="F49" s="245">
        <v>17.2</v>
      </c>
      <c r="G49" s="245">
        <v>17.2</v>
      </c>
      <c r="H49" s="245">
        <v>17.2</v>
      </c>
      <c r="I49" s="245">
        <v>17.2</v>
      </c>
      <c r="J49" s="245">
        <v>17.2</v>
      </c>
      <c r="K49" s="245">
        <v>17.2</v>
      </c>
      <c r="L49" s="245">
        <v>17.2</v>
      </c>
      <c r="M49" s="221">
        <v>17.3</v>
      </c>
      <c r="N49" s="221">
        <v>17.3</v>
      </c>
      <c r="O49" s="221">
        <v>17.3</v>
      </c>
      <c r="P49" s="221">
        <v>17.3</v>
      </c>
      <c r="Q49" s="221">
        <v>15</v>
      </c>
      <c r="R49" s="221">
        <v>15</v>
      </c>
      <c r="S49" s="221">
        <v>17.3</v>
      </c>
      <c r="T49" s="221">
        <v>17.3</v>
      </c>
      <c r="U49" s="221">
        <v>17.3</v>
      </c>
      <c r="V49" s="221">
        <v>17.3</v>
      </c>
      <c r="W49" s="221">
        <v>17.3</v>
      </c>
      <c r="X49" s="221">
        <v>17.3</v>
      </c>
      <c r="Y49" s="221">
        <v>17.3</v>
      </c>
      <c r="Z49" s="221">
        <v>17.3</v>
      </c>
      <c r="AA49" s="221">
        <v>17.3</v>
      </c>
      <c r="AB49" s="245">
        <v>17.2</v>
      </c>
      <c r="AC49" s="245">
        <v>17.2</v>
      </c>
      <c r="AD49" s="245">
        <v>17.2</v>
      </c>
      <c r="AE49" s="245">
        <v>17.3</v>
      </c>
      <c r="AF49" s="245">
        <v>17.3</v>
      </c>
      <c r="AG49" s="235">
        <v>24</v>
      </c>
      <c r="AH49" s="226">
        <f t="shared" si="2"/>
        <v>17.399999999999999</v>
      </c>
      <c r="AI49" s="227">
        <f t="shared" si="3"/>
        <v>15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0</v>
      </c>
      <c r="Q50" s="221">
        <v>0</v>
      </c>
      <c r="R50" s="221">
        <v>0</v>
      </c>
      <c r="S50" s="221">
        <v>2.8</v>
      </c>
      <c r="T50" s="221">
        <v>2.8</v>
      </c>
      <c r="U50" s="221">
        <v>2.8</v>
      </c>
      <c r="V50" s="221">
        <v>2.8</v>
      </c>
      <c r="W50" s="221">
        <v>2.8</v>
      </c>
      <c r="X50" s="221">
        <v>2.8</v>
      </c>
      <c r="Y50" s="221">
        <v>2.8</v>
      </c>
      <c r="Z50" s="221">
        <v>2.8</v>
      </c>
      <c r="AA50" s="221">
        <v>2.8</v>
      </c>
      <c r="AB50" s="245">
        <v>2.8</v>
      </c>
      <c r="AC50" s="245">
        <v>2.8</v>
      </c>
      <c r="AD50" s="245">
        <v>2.8</v>
      </c>
      <c r="AE50" s="245">
        <v>2.8</v>
      </c>
      <c r="AF50" s="245">
        <v>2.8</v>
      </c>
      <c r="AG50" s="235">
        <v>15</v>
      </c>
      <c r="AH50" s="226">
        <f t="shared" si="2"/>
        <v>3</v>
      </c>
      <c r="AI50" s="227">
        <f t="shared" si="3"/>
        <v>0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13.3</v>
      </c>
      <c r="C51" s="245">
        <v>13.5</v>
      </c>
      <c r="D51" s="245">
        <v>13.6</v>
      </c>
      <c r="E51" s="245">
        <v>13.6</v>
      </c>
      <c r="F51" s="245">
        <v>13.8</v>
      </c>
      <c r="G51" s="245">
        <v>13.8</v>
      </c>
      <c r="H51" s="245">
        <v>13.8</v>
      </c>
      <c r="I51" s="245">
        <v>13.8</v>
      </c>
      <c r="J51" s="245">
        <v>13.8</v>
      </c>
      <c r="K51" s="245">
        <v>13.8</v>
      </c>
      <c r="L51" s="245">
        <v>13.8</v>
      </c>
      <c r="M51" s="221">
        <v>13.6</v>
      </c>
      <c r="N51" s="221">
        <v>13.6</v>
      </c>
      <c r="O51" s="221">
        <v>13.6</v>
      </c>
      <c r="P51" s="221">
        <v>13.6</v>
      </c>
      <c r="Q51" s="221">
        <v>13.6</v>
      </c>
      <c r="R51" s="221">
        <v>13.6</v>
      </c>
      <c r="S51" s="221">
        <v>13.6</v>
      </c>
      <c r="T51" s="221">
        <v>13.6</v>
      </c>
      <c r="U51" s="221">
        <v>13.6</v>
      </c>
      <c r="V51" s="221">
        <v>13.6</v>
      </c>
      <c r="W51" s="221">
        <v>13.6</v>
      </c>
      <c r="X51" s="221">
        <v>13.6</v>
      </c>
      <c r="Y51" s="221">
        <v>12.2</v>
      </c>
      <c r="Z51" s="221">
        <v>12.2</v>
      </c>
      <c r="AA51" s="221">
        <v>12.2</v>
      </c>
      <c r="AB51" s="245">
        <v>12.5</v>
      </c>
      <c r="AC51" s="245">
        <v>12.5</v>
      </c>
      <c r="AD51" s="245">
        <v>12.5</v>
      </c>
      <c r="AE51" s="245">
        <v>13.2</v>
      </c>
      <c r="AF51" s="245">
        <v>13.2</v>
      </c>
      <c r="AG51" s="235">
        <v>14.1</v>
      </c>
      <c r="AH51" s="226">
        <f t="shared" si="2"/>
        <v>13.8</v>
      </c>
      <c r="AI51" s="227">
        <f t="shared" si="3"/>
        <v>12.2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14.1</v>
      </c>
      <c r="C52" s="245">
        <v>14.1</v>
      </c>
      <c r="D52" s="245">
        <v>14.1</v>
      </c>
      <c r="E52" s="245">
        <v>14.1</v>
      </c>
      <c r="F52" s="245">
        <v>14.1</v>
      </c>
      <c r="G52" s="245">
        <v>14.1</v>
      </c>
      <c r="H52" s="245">
        <v>14.1</v>
      </c>
      <c r="I52" s="245">
        <v>14.1</v>
      </c>
      <c r="J52" s="245">
        <v>14.1</v>
      </c>
      <c r="K52" s="245">
        <v>14.1</v>
      </c>
      <c r="L52" s="245">
        <v>14.1</v>
      </c>
      <c r="M52" s="221">
        <v>14.2</v>
      </c>
      <c r="N52" s="221">
        <v>14.2</v>
      </c>
      <c r="O52" s="221">
        <v>14.2</v>
      </c>
      <c r="P52" s="221">
        <v>14.2</v>
      </c>
      <c r="Q52" s="221">
        <v>14.2</v>
      </c>
      <c r="R52" s="221">
        <v>14.2</v>
      </c>
      <c r="S52" s="221">
        <v>14.2</v>
      </c>
      <c r="T52" s="221">
        <v>14.2</v>
      </c>
      <c r="U52" s="221">
        <v>14.2</v>
      </c>
      <c r="V52" s="221">
        <v>14.2</v>
      </c>
      <c r="W52" s="221">
        <v>14.2</v>
      </c>
      <c r="X52" s="221">
        <v>14.2</v>
      </c>
      <c r="Y52" s="221">
        <v>14.2</v>
      </c>
      <c r="Z52" s="221">
        <v>14.2</v>
      </c>
      <c r="AA52" s="221">
        <v>14.2</v>
      </c>
      <c r="AB52" s="245">
        <v>14.2</v>
      </c>
      <c r="AC52" s="245">
        <v>14.2</v>
      </c>
      <c r="AD52" s="245">
        <v>14.2</v>
      </c>
      <c r="AE52" s="245">
        <v>14.2</v>
      </c>
      <c r="AF52" s="245">
        <v>14.2</v>
      </c>
      <c r="AG52" s="235">
        <v>14</v>
      </c>
      <c r="AH52" s="226">
        <f t="shared" si="2"/>
        <v>14.2</v>
      </c>
      <c r="AI52" s="227">
        <f t="shared" si="3"/>
        <v>14.1</v>
      </c>
      <c r="AK52" s="228"/>
    </row>
    <row r="53" spans="1:41" x14ac:dyDescent="0.25">
      <c r="A53" s="234" t="s">
        <v>61</v>
      </c>
      <c r="B53" s="245">
        <v>9.3000000000000007</v>
      </c>
      <c r="C53" s="245">
        <v>9.3000000000000007</v>
      </c>
      <c r="D53" s="245">
        <v>9.3000000000000007</v>
      </c>
      <c r="E53" s="245">
        <v>9.3000000000000007</v>
      </c>
      <c r="F53" s="245">
        <v>9.3000000000000007</v>
      </c>
      <c r="G53" s="245">
        <v>9.3000000000000007</v>
      </c>
      <c r="H53" s="245">
        <v>9.3000000000000007</v>
      </c>
      <c r="I53" s="245">
        <v>9.3000000000000007</v>
      </c>
      <c r="J53" s="245">
        <v>9.3000000000000007</v>
      </c>
      <c r="K53" s="245">
        <v>9.3000000000000007</v>
      </c>
      <c r="L53" s="245">
        <v>9.3000000000000007</v>
      </c>
      <c r="M53" s="221">
        <v>9.3000000000000007</v>
      </c>
      <c r="N53" s="221">
        <v>9.3000000000000007</v>
      </c>
      <c r="O53" s="221">
        <v>9.3000000000000007</v>
      </c>
      <c r="P53" s="221">
        <v>9.3000000000000007</v>
      </c>
      <c r="Q53" s="221">
        <v>9.3000000000000007</v>
      </c>
      <c r="R53" s="221">
        <v>9.3000000000000007</v>
      </c>
      <c r="S53" s="221">
        <v>9.3000000000000007</v>
      </c>
      <c r="T53" s="221">
        <v>9.3000000000000007</v>
      </c>
      <c r="U53" s="221">
        <v>9.3000000000000007</v>
      </c>
      <c r="V53" s="221">
        <v>9.3000000000000007</v>
      </c>
      <c r="W53" s="221">
        <v>9.3000000000000007</v>
      </c>
      <c r="X53" s="221">
        <v>9.3000000000000007</v>
      </c>
      <c r="Y53" s="221">
        <v>9.3000000000000007</v>
      </c>
      <c r="Z53" s="221">
        <v>9.3000000000000007</v>
      </c>
      <c r="AA53" s="221">
        <v>9.3000000000000007</v>
      </c>
      <c r="AB53" s="245">
        <v>9.3000000000000007</v>
      </c>
      <c r="AC53" s="245">
        <v>9.3000000000000007</v>
      </c>
      <c r="AD53" s="245">
        <v>9.3000000000000007</v>
      </c>
      <c r="AE53" s="245">
        <v>9.3000000000000007</v>
      </c>
      <c r="AF53" s="245">
        <v>9.3000000000000007</v>
      </c>
      <c r="AG53" s="235">
        <v>10.050000000000001</v>
      </c>
      <c r="AH53" s="226">
        <f t="shared" si="2"/>
        <v>9.3000000000000007</v>
      </c>
      <c r="AI53" s="227">
        <f t="shared" si="3"/>
        <v>9.3000000000000007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434.94</v>
      </c>
      <c r="C56" s="241">
        <f t="shared" ref="C56:AG56" si="9">SUM(C43:C55)</f>
        <v>435.64</v>
      </c>
      <c r="D56" s="241">
        <f t="shared" si="9"/>
        <v>435.64</v>
      </c>
      <c r="E56" s="241">
        <f t="shared" si="9"/>
        <v>435.64</v>
      </c>
      <c r="F56" s="241">
        <f t="shared" si="9"/>
        <v>436.14000000000004</v>
      </c>
      <c r="G56" s="241">
        <f t="shared" si="9"/>
        <v>436.14000000000004</v>
      </c>
      <c r="H56" s="241">
        <f t="shared" si="9"/>
        <v>436.14000000000004</v>
      </c>
      <c r="I56" s="241">
        <f t="shared" si="9"/>
        <v>436.14000000000004</v>
      </c>
      <c r="J56" s="241">
        <f t="shared" si="9"/>
        <v>436.14000000000004</v>
      </c>
      <c r="K56" s="241">
        <f t="shared" si="9"/>
        <v>436.14000000000004</v>
      </c>
      <c r="L56" s="241">
        <f t="shared" si="9"/>
        <v>436.14000000000004</v>
      </c>
      <c r="M56" s="241">
        <f t="shared" si="9"/>
        <v>440.64</v>
      </c>
      <c r="N56" s="241">
        <f t="shared" si="9"/>
        <v>442.84</v>
      </c>
      <c r="O56" s="241">
        <f t="shared" si="9"/>
        <v>444.14000000000004</v>
      </c>
      <c r="P56" s="241">
        <f t="shared" si="9"/>
        <v>440.74</v>
      </c>
      <c r="Q56" s="241">
        <f t="shared" si="9"/>
        <v>438.24</v>
      </c>
      <c r="R56" s="241">
        <f t="shared" si="9"/>
        <v>438.14000000000004</v>
      </c>
      <c r="S56" s="241">
        <f t="shared" si="9"/>
        <v>443.24000000000007</v>
      </c>
      <c r="T56" s="241">
        <f t="shared" si="9"/>
        <v>443.24000000000007</v>
      </c>
      <c r="U56" s="241">
        <f t="shared" si="9"/>
        <v>443.24000000000007</v>
      </c>
      <c r="V56" s="241">
        <f t="shared" si="9"/>
        <v>443.24000000000007</v>
      </c>
      <c r="W56" s="241">
        <f t="shared" si="9"/>
        <v>443.24000000000007</v>
      </c>
      <c r="X56" s="241">
        <f t="shared" si="9"/>
        <v>443.24000000000007</v>
      </c>
      <c r="Y56" s="241">
        <f t="shared" si="9"/>
        <v>441.84000000000003</v>
      </c>
      <c r="Z56" s="241">
        <f t="shared" si="9"/>
        <v>441.84000000000003</v>
      </c>
      <c r="AA56" s="241">
        <f t="shared" si="9"/>
        <v>441.84000000000003</v>
      </c>
      <c r="AB56" s="241">
        <f t="shared" si="9"/>
        <v>435.74</v>
      </c>
      <c r="AC56" s="241">
        <f t="shared" si="9"/>
        <v>436.24</v>
      </c>
      <c r="AD56" s="241">
        <f t="shared" si="9"/>
        <v>436.24</v>
      </c>
      <c r="AE56" s="241">
        <f t="shared" ref="AE56:AF56" si="10">SUM(AE43:AE55)</f>
        <v>439.64</v>
      </c>
      <c r="AF56" s="241">
        <f t="shared" si="10"/>
        <v>438.34</v>
      </c>
      <c r="AG56" s="242">
        <f t="shared" si="9"/>
        <v>489.91</v>
      </c>
      <c r="AH56" s="226">
        <f t="shared" si="2"/>
        <v>444.14000000000004</v>
      </c>
      <c r="AI56" s="227">
        <f t="shared" si="3"/>
        <v>434.94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20.100000000000001</v>
      </c>
      <c r="N57" s="221">
        <v>20.100000000000001</v>
      </c>
      <c r="O57" s="221">
        <v>29.7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29</v>
      </c>
      <c r="Z57" s="221">
        <v>46</v>
      </c>
      <c r="AA57" s="221">
        <v>39.799999999999997</v>
      </c>
      <c r="AB57" s="221">
        <v>40.1</v>
      </c>
      <c r="AC57" s="221">
        <v>50.1</v>
      </c>
      <c r="AD57" s="221">
        <v>50.1</v>
      </c>
      <c r="AE57" s="221">
        <v>29.4</v>
      </c>
      <c r="AF57" s="221">
        <v>0</v>
      </c>
      <c r="AG57" s="230">
        <v>60</v>
      </c>
      <c r="AH57" s="226">
        <f t="shared" si="2"/>
        <v>50.1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9.3000000000000007</v>
      </c>
      <c r="N58" s="245">
        <v>9.1999999999999993</v>
      </c>
      <c r="O58" s="245">
        <v>14.4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16</v>
      </c>
      <c r="Z58" s="245">
        <v>22</v>
      </c>
      <c r="AA58" s="245">
        <v>21</v>
      </c>
      <c r="AB58" s="245">
        <v>18.8</v>
      </c>
      <c r="AC58" s="245">
        <v>23.5</v>
      </c>
      <c r="AD58" s="245">
        <v>23.5</v>
      </c>
      <c r="AE58" s="245">
        <v>12.5</v>
      </c>
      <c r="AF58" s="245">
        <v>0</v>
      </c>
      <c r="AG58" s="235">
        <v>32</v>
      </c>
      <c r="AH58" s="226">
        <f t="shared" si="2"/>
        <v>23.5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3.4</v>
      </c>
      <c r="N59" s="247">
        <v>3.4</v>
      </c>
      <c r="O59" s="247">
        <v>5.3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5.7</v>
      </c>
      <c r="Z59" s="247">
        <v>8.1999999999999993</v>
      </c>
      <c r="AA59" s="247">
        <v>7.5</v>
      </c>
      <c r="AB59" s="247">
        <v>6.9</v>
      </c>
      <c r="AC59" s="247">
        <v>8.6</v>
      </c>
      <c r="AD59" s="247">
        <v>8.6</v>
      </c>
      <c r="AE59" s="247">
        <v>4.7</v>
      </c>
      <c r="AF59" s="247">
        <v>0</v>
      </c>
      <c r="AG59" s="248">
        <v>14</v>
      </c>
      <c r="AH59" s="226">
        <f t="shared" si="2"/>
        <v>8.6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11">SUM(C57:C59)</f>
        <v>0</v>
      </c>
      <c r="D60" s="241">
        <f t="shared" si="11"/>
        <v>0</v>
      </c>
      <c r="E60" s="241">
        <f t="shared" si="11"/>
        <v>0</v>
      </c>
      <c r="F60" s="241">
        <f t="shared" si="11"/>
        <v>0</v>
      </c>
      <c r="G60" s="241">
        <f t="shared" si="11"/>
        <v>0</v>
      </c>
      <c r="H60" s="241">
        <f t="shared" si="11"/>
        <v>0</v>
      </c>
      <c r="I60" s="241">
        <f t="shared" si="11"/>
        <v>0</v>
      </c>
      <c r="J60" s="241">
        <f t="shared" si="11"/>
        <v>0</v>
      </c>
      <c r="K60" s="241">
        <f t="shared" si="11"/>
        <v>0</v>
      </c>
      <c r="L60" s="241">
        <f t="shared" si="11"/>
        <v>0</v>
      </c>
      <c r="M60" s="241">
        <f t="shared" si="11"/>
        <v>32.800000000000004</v>
      </c>
      <c r="N60" s="241">
        <f t="shared" si="11"/>
        <v>32.700000000000003</v>
      </c>
      <c r="O60" s="241">
        <f t="shared" si="11"/>
        <v>49.4</v>
      </c>
      <c r="P60" s="241">
        <f t="shared" si="11"/>
        <v>0</v>
      </c>
      <c r="Q60" s="241">
        <f t="shared" si="11"/>
        <v>0</v>
      </c>
      <c r="R60" s="241">
        <f t="shared" si="11"/>
        <v>0</v>
      </c>
      <c r="S60" s="241">
        <f t="shared" si="11"/>
        <v>0</v>
      </c>
      <c r="T60" s="241">
        <f t="shared" si="11"/>
        <v>0</v>
      </c>
      <c r="U60" s="241">
        <f t="shared" si="11"/>
        <v>0</v>
      </c>
      <c r="V60" s="241">
        <f t="shared" si="11"/>
        <v>0</v>
      </c>
      <c r="W60" s="241">
        <f t="shared" si="11"/>
        <v>0</v>
      </c>
      <c r="X60" s="241">
        <f t="shared" si="11"/>
        <v>0</v>
      </c>
      <c r="Y60" s="241">
        <f t="shared" si="11"/>
        <v>50.7</v>
      </c>
      <c r="Z60" s="241">
        <f t="shared" si="11"/>
        <v>76.2</v>
      </c>
      <c r="AA60" s="241">
        <f t="shared" si="11"/>
        <v>68.3</v>
      </c>
      <c r="AB60" s="241">
        <f t="shared" si="11"/>
        <v>65.800000000000011</v>
      </c>
      <c r="AC60" s="241">
        <f t="shared" si="11"/>
        <v>82.199999999999989</v>
      </c>
      <c r="AD60" s="241">
        <f t="shared" si="11"/>
        <v>82.199999999999989</v>
      </c>
      <c r="AE60" s="241">
        <f t="shared" ref="AE60:AF60" si="12">SUM(AE57:AE59)</f>
        <v>46.6</v>
      </c>
      <c r="AF60" s="241">
        <f t="shared" si="12"/>
        <v>0</v>
      </c>
      <c r="AG60" s="242">
        <f t="shared" si="11"/>
        <v>106</v>
      </c>
      <c r="AH60" s="226">
        <f t="shared" si="2"/>
        <v>82.199999999999989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12</v>
      </c>
      <c r="Q61" s="221">
        <v>16</v>
      </c>
      <c r="R61" s="221">
        <v>36.799999999999997</v>
      </c>
      <c r="S61" s="221">
        <v>29</v>
      </c>
      <c r="T61" s="221">
        <v>29</v>
      </c>
      <c r="U61" s="221">
        <v>29</v>
      </c>
      <c r="V61" s="221">
        <v>22</v>
      </c>
      <c r="W61" s="221">
        <v>25</v>
      </c>
      <c r="X61" s="221">
        <v>20</v>
      </c>
      <c r="Y61" s="221">
        <v>19.5</v>
      </c>
      <c r="Z61" s="221">
        <v>68</v>
      </c>
      <c r="AA61" s="221">
        <v>67</v>
      </c>
      <c r="AB61" s="221">
        <v>48.9</v>
      </c>
      <c r="AC61" s="221">
        <v>48.9</v>
      </c>
      <c r="AD61" s="221">
        <v>45.9</v>
      </c>
      <c r="AE61" s="221">
        <v>43.1</v>
      </c>
      <c r="AF61" s="221">
        <v>0</v>
      </c>
      <c r="AG61" s="230"/>
      <c r="AH61" s="226">
        <f t="shared" si="2"/>
        <v>68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-329</v>
      </c>
      <c r="C63" s="245">
        <v>-347.8</v>
      </c>
      <c r="D63" s="245">
        <v>-366</v>
      </c>
      <c r="E63" s="245">
        <v>-367</v>
      </c>
      <c r="F63" s="245">
        <v>-377.1</v>
      </c>
      <c r="G63" s="245">
        <v>-386.3</v>
      </c>
      <c r="H63" s="245">
        <v>-389</v>
      </c>
      <c r="I63" s="245">
        <v>-379</v>
      </c>
      <c r="J63" s="245">
        <v>-380.2</v>
      </c>
      <c r="K63" s="245">
        <v>-345</v>
      </c>
      <c r="L63" s="245">
        <v>-320</v>
      </c>
      <c r="M63" s="245">
        <v>-341.4</v>
      </c>
      <c r="N63" s="245">
        <v>-327.7</v>
      </c>
      <c r="O63" s="245">
        <v>-300.5</v>
      </c>
      <c r="P63" s="245">
        <v>-350</v>
      </c>
      <c r="Q63" s="245">
        <v>-373.4</v>
      </c>
      <c r="R63" s="245">
        <v>-318.89999999999998</v>
      </c>
      <c r="S63" s="245">
        <v>-280</v>
      </c>
      <c r="T63" s="245">
        <v>-382</v>
      </c>
      <c r="U63" s="245">
        <v>-327</v>
      </c>
      <c r="V63" s="245">
        <v>-364</v>
      </c>
      <c r="W63" s="245">
        <v>-374</v>
      </c>
      <c r="X63" s="245">
        <v>-338</v>
      </c>
      <c r="Y63" s="245">
        <v>-270</v>
      </c>
      <c r="Z63" s="245">
        <v>-240</v>
      </c>
      <c r="AA63" s="245">
        <v>-250</v>
      </c>
      <c r="AB63" s="245">
        <v>-276</v>
      </c>
      <c r="AC63" s="245">
        <v>-312</v>
      </c>
      <c r="AD63" s="245">
        <v>-299</v>
      </c>
      <c r="AE63" s="245">
        <v>-348.2</v>
      </c>
      <c r="AF63" s="245">
        <v>-367</v>
      </c>
      <c r="AG63" s="255"/>
      <c r="AH63" s="226">
        <f t="shared" si="2"/>
        <v>-240</v>
      </c>
      <c r="AI63" s="227">
        <f t="shared" si="3"/>
        <v>-389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5</v>
      </c>
      <c r="G66" s="257">
        <v>5</v>
      </c>
      <c r="H66" s="257">
        <v>5</v>
      </c>
      <c r="I66" s="257">
        <v>5</v>
      </c>
      <c r="J66" s="257">
        <v>5</v>
      </c>
      <c r="K66" s="257">
        <v>5</v>
      </c>
      <c r="L66" s="257">
        <v>5</v>
      </c>
      <c r="M66" s="257">
        <v>4</v>
      </c>
      <c r="N66" s="257">
        <v>4</v>
      </c>
      <c r="O66" s="257">
        <v>4</v>
      </c>
      <c r="P66" s="257">
        <v>4</v>
      </c>
      <c r="Q66" s="257">
        <v>4</v>
      </c>
      <c r="R66" s="257">
        <v>4</v>
      </c>
      <c r="S66" s="257">
        <v>4</v>
      </c>
      <c r="T66" s="257">
        <v>4</v>
      </c>
      <c r="U66" s="257">
        <v>4</v>
      </c>
      <c r="V66" s="257">
        <v>4</v>
      </c>
      <c r="W66" s="257">
        <v>4</v>
      </c>
      <c r="X66" s="257">
        <v>4</v>
      </c>
      <c r="Y66" s="257">
        <v>4</v>
      </c>
      <c r="Z66" s="257">
        <v>4</v>
      </c>
      <c r="AA66" s="257">
        <v>6</v>
      </c>
      <c r="AB66" s="257">
        <v>6</v>
      </c>
      <c r="AC66" s="257">
        <v>6</v>
      </c>
      <c r="AD66" s="257">
        <v>6</v>
      </c>
      <c r="AE66" s="257">
        <v>6</v>
      </c>
      <c r="AF66" s="257">
        <v>6</v>
      </c>
      <c r="AG66" s="255"/>
      <c r="AH66" s="226">
        <f t="shared" si="2"/>
        <v>6</v>
      </c>
      <c r="AI66" s="227">
        <f t="shared" si="3"/>
        <v>4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5</v>
      </c>
      <c r="C72" s="241">
        <f t="shared" ref="C72:L72" si="13">SUMIF(C61:C71,"&gt;0")</f>
        <v>5</v>
      </c>
      <c r="D72" s="241">
        <f t="shared" si="13"/>
        <v>5</v>
      </c>
      <c r="E72" s="241">
        <f t="shared" si="13"/>
        <v>5</v>
      </c>
      <c r="F72" s="241">
        <f t="shared" si="13"/>
        <v>5</v>
      </c>
      <c r="G72" s="241">
        <f t="shared" si="13"/>
        <v>5</v>
      </c>
      <c r="H72" s="241">
        <f t="shared" si="13"/>
        <v>5</v>
      </c>
      <c r="I72" s="241">
        <f t="shared" si="13"/>
        <v>5</v>
      </c>
      <c r="J72" s="241">
        <f t="shared" si="13"/>
        <v>5</v>
      </c>
      <c r="K72" s="241">
        <f t="shared" si="13"/>
        <v>5</v>
      </c>
      <c r="L72" s="241">
        <f t="shared" si="13"/>
        <v>5</v>
      </c>
      <c r="M72" s="241">
        <f>SUMIF(M61:M71,"&gt;0")</f>
        <v>4</v>
      </c>
      <c r="N72" s="241">
        <f t="shared" ref="N72:AD72" si="14">SUMIF(N61:N71,"&gt;0")</f>
        <v>4</v>
      </c>
      <c r="O72" s="241">
        <f t="shared" si="14"/>
        <v>4</v>
      </c>
      <c r="P72" s="241">
        <f t="shared" si="14"/>
        <v>16</v>
      </c>
      <c r="Q72" s="241">
        <f t="shared" ref="Q72" si="15">SUMIF(Q61:Q71,"&gt;0")</f>
        <v>20</v>
      </c>
      <c r="R72" s="241">
        <f t="shared" si="14"/>
        <v>40.799999999999997</v>
      </c>
      <c r="S72" s="241">
        <f t="shared" si="14"/>
        <v>33</v>
      </c>
      <c r="T72" s="241">
        <f t="shared" si="14"/>
        <v>33</v>
      </c>
      <c r="U72" s="241">
        <f t="shared" si="14"/>
        <v>33</v>
      </c>
      <c r="V72" s="241">
        <f t="shared" si="14"/>
        <v>26</v>
      </c>
      <c r="W72" s="241">
        <f t="shared" si="14"/>
        <v>29</v>
      </c>
      <c r="X72" s="241">
        <f t="shared" si="14"/>
        <v>24</v>
      </c>
      <c r="Y72" s="241">
        <f t="shared" si="14"/>
        <v>23.5</v>
      </c>
      <c r="Z72" s="241">
        <f t="shared" si="14"/>
        <v>72</v>
      </c>
      <c r="AA72" s="241">
        <f t="shared" si="14"/>
        <v>73</v>
      </c>
      <c r="AB72" s="241">
        <f t="shared" si="14"/>
        <v>54.9</v>
      </c>
      <c r="AC72" s="241">
        <f t="shared" si="14"/>
        <v>54.9</v>
      </c>
      <c r="AD72" s="241">
        <f t="shared" si="14"/>
        <v>51.9</v>
      </c>
      <c r="AE72" s="241">
        <f t="shared" ref="AE72:AF72" si="16">SUMIF(AE61:AE71,"&gt;0")</f>
        <v>49.1</v>
      </c>
      <c r="AF72" s="241">
        <f t="shared" si="16"/>
        <v>6</v>
      </c>
      <c r="AG72" s="261">
        <f>SUM(AG61:AG71)</f>
        <v>0</v>
      </c>
      <c r="AH72" s="226">
        <f t="shared" si="2"/>
        <v>73</v>
      </c>
      <c r="AI72" s="227">
        <f t="shared" si="3"/>
        <v>4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1</v>
      </c>
      <c r="AF76" s="241">
        <v>2</v>
      </c>
      <c r="AG76" s="261">
        <f>SUM(AG73:AG75)</f>
        <v>55.4</v>
      </c>
      <c r="AH76" s="226">
        <f t="shared" si="2"/>
        <v>2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1744.14</v>
      </c>
      <c r="C77" s="263">
        <f t="shared" ref="C77:AD77" si="17">C38+C42+C60+C56+C72+C76</f>
        <v>1739.44</v>
      </c>
      <c r="D77" s="263">
        <f t="shared" si="17"/>
        <v>1729.1399999999999</v>
      </c>
      <c r="E77" s="263">
        <f t="shared" si="17"/>
        <v>1724.1399999999999</v>
      </c>
      <c r="F77" s="263">
        <f t="shared" si="17"/>
        <v>1722.64</v>
      </c>
      <c r="G77" s="263">
        <f t="shared" si="17"/>
        <v>1722.64</v>
      </c>
      <c r="H77" s="263">
        <f t="shared" si="17"/>
        <v>1722.64</v>
      </c>
      <c r="I77" s="263">
        <f t="shared" si="17"/>
        <v>1733.64</v>
      </c>
      <c r="J77" s="263">
        <f t="shared" si="17"/>
        <v>1756.24</v>
      </c>
      <c r="K77" s="263">
        <f t="shared" si="17"/>
        <v>1756.24</v>
      </c>
      <c r="L77" s="263">
        <f t="shared" si="17"/>
        <v>1759.24</v>
      </c>
      <c r="M77" s="263">
        <f t="shared" si="17"/>
        <v>1797.44</v>
      </c>
      <c r="N77" s="263">
        <f t="shared" si="17"/>
        <v>1801.54</v>
      </c>
      <c r="O77" s="263">
        <f t="shared" si="17"/>
        <v>1814.5400000000002</v>
      </c>
      <c r="P77" s="263">
        <f t="shared" si="17"/>
        <v>1773.74</v>
      </c>
      <c r="Q77" s="263">
        <f t="shared" si="17"/>
        <v>1770.34</v>
      </c>
      <c r="R77" s="263">
        <f t="shared" si="17"/>
        <v>1715.04</v>
      </c>
      <c r="S77" s="263">
        <f t="shared" si="17"/>
        <v>1712.34</v>
      </c>
      <c r="T77" s="263">
        <f t="shared" si="17"/>
        <v>1788.34</v>
      </c>
      <c r="U77" s="263">
        <f t="shared" si="17"/>
        <v>1788.34</v>
      </c>
      <c r="V77" s="263">
        <f t="shared" si="17"/>
        <v>1781.34</v>
      </c>
      <c r="W77" s="263">
        <f t="shared" si="17"/>
        <v>1784.34</v>
      </c>
      <c r="X77" s="263">
        <f t="shared" si="17"/>
        <v>1779.34</v>
      </c>
      <c r="Y77" s="263">
        <f t="shared" si="17"/>
        <v>1836.1399999999999</v>
      </c>
      <c r="Z77" s="263">
        <f t="shared" si="17"/>
        <v>1910.1399999999999</v>
      </c>
      <c r="AA77" s="263">
        <f t="shared" si="17"/>
        <v>1901.2399999999998</v>
      </c>
      <c r="AB77" s="263">
        <f t="shared" si="17"/>
        <v>1875.14</v>
      </c>
      <c r="AC77" s="263">
        <f t="shared" si="17"/>
        <v>1891.8400000000001</v>
      </c>
      <c r="AD77" s="263">
        <f t="shared" si="17"/>
        <v>1888.8400000000001</v>
      </c>
      <c r="AE77" s="263">
        <f t="shared" ref="AE77:AF77" si="18">AE38+AE42+AE60+AE56+AE72+AE76</f>
        <v>1855.04</v>
      </c>
      <c r="AF77" s="263">
        <f t="shared" si="18"/>
        <v>1761.24</v>
      </c>
      <c r="AG77" s="242">
        <f>AG38+AG42+AG60+AG56+AG72+AG76</f>
        <v>1855.1900000000003</v>
      </c>
      <c r="AH77" s="226">
        <f t="shared" si="2"/>
        <v>1910.1399999999999</v>
      </c>
      <c r="AI77" s="227">
        <f t="shared" si="3"/>
        <v>1712.34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1744.14</v>
      </c>
      <c r="C79" s="263">
        <f t="shared" ref="C79:AD79" si="19">C77+C78</f>
        <v>1739.44</v>
      </c>
      <c r="D79" s="263">
        <f t="shared" si="19"/>
        <v>1729.1399999999999</v>
      </c>
      <c r="E79" s="263">
        <f t="shared" si="19"/>
        <v>1724.1399999999999</v>
      </c>
      <c r="F79" s="263">
        <f t="shared" si="19"/>
        <v>1722.64</v>
      </c>
      <c r="G79" s="263">
        <f t="shared" si="19"/>
        <v>1722.64</v>
      </c>
      <c r="H79" s="263">
        <f t="shared" si="19"/>
        <v>1722.64</v>
      </c>
      <c r="I79" s="263">
        <f t="shared" si="19"/>
        <v>1733.64</v>
      </c>
      <c r="J79" s="263">
        <f t="shared" si="19"/>
        <v>1756.24</v>
      </c>
      <c r="K79" s="263">
        <f t="shared" si="19"/>
        <v>1756.24</v>
      </c>
      <c r="L79" s="263">
        <f t="shared" si="19"/>
        <v>1759.24</v>
      </c>
      <c r="M79" s="263">
        <f t="shared" si="19"/>
        <v>1797.44</v>
      </c>
      <c r="N79" s="263">
        <f t="shared" si="19"/>
        <v>1801.54</v>
      </c>
      <c r="O79" s="263">
        <f t="shared" si="19"/>
        <v>1814.5400000000002</v>
      </c>
      <c r="P79" s="263">
        <f t="shared" si="19"/>
        <v>1773.74</v>
      </c>
      <c r="Q79" s="263">
        <f t="shared" si="19"/>
        <v>1770.34</v>
      </c>
      <c r="R79" s="263">
        <f t="shared" si="19"/>
        <v>1715.04</v>
      </c>
      <c r="S79" s="263">
        <f t="shared" si="19"/>
        <v>1712.34</v>
      </c>
      <c r="T79" s="263">
        <f t="shared" si="19"/>
        <v>1788.34</v>
      </c>
      <c r="U79" s="263">
        <f t="shared" si="19"/>
        <v>1788.34</v>
      </c>
      <c r="V79" s="263">
        <f t="shared" si="19"/>
        <v>1781.34</v>
      </c>
      <c r="W79" s="263">
        <f t="shared" si="19"/>
        <v>1784.34</v>
      </c>
      <c r="X79" s="263">
        <f t="shared" si="19"/>
        <v>1779.34</v>
      </c>
      <c r="Y79" s="263">
        <f t="shared" si="19"/>
        <v>1836.1399999999999</v>
      </c>
      <c r="Z79" s="263">
        <f t="shared" si="19"/>
        <v>1910.1399999999999</v>
      </c>
      <c r="AA79" s="263">
        <f t="shared" si="19"/>
        <v>1901.2399999999998</v>
      </c>
      <c r="AB79" s="263">
        <f t="shared" si="19"/>
        <v>1875.14</v>
      </c>
      <c r="AC79" s="263">
        <f t="shared" si="19"/>
        <v>1891.8400000000001</v>
      </c>
      <c r="AD79" s="263">
        <f t="shared" si="19"/>
        <v>1888.8400000000001</v>
      </c>
      <c r="AE79" s="263">
        <f t="shared" ref="AE79:AF79" si="20">AE77+AE78</f>
        <v>1855.04</v>
      </c>
      <c r="AF79" s="263">
        <f t="shared" si="20"/>
        <v>1761.24</v>
      </c>
      <c r="AG79" s="261">
        <f>AG76+AG72+AG60+AG56+AG38+AG78</f>
        <v>1317.0900000000001</v>
      </c>
      <c r="AH79" s="226">
        <f t="shared" si="2"/>
        <v>1910.1399999999999</v>
      </c>
      <c r="AI79" s="227">
        <f t="shared" si="3"/>
        <v>1712.34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D80" si="21">B79-B87</f>
        <v>1415.14</v>
      </c>
      <c r="C80" s="263">
        <f t="shared" si="21"/>
        <v>1391.64</v>
      </c>
      <c r="D80" s="263">
        <f t="shared" si="21"/>
        <v>1363.1399999999999</v>
      </c>
      <c r="E80" s="263">
        <f t="shared" si="21"/>
        <v>1357.1399999999999</v>
      </c>
      <c r="F80" s="263">
        <f t="shared" si="21"/>
        <v>1345.54</v>
      </c>
      <c r="G80" s="263">
        <f t="shared" si="21"/>
        <v>1336.3400000000001</v>
      </c>
      <c r="H80" s="263">
        <f t="shared" si="21"/>
        <v>1333.64</v>
      </c>
      <c r="I80" s="263">
        <f t="shared" si="21"/>
        <v>1354.64</v>
      </c>
      <c r="J80" s="263">
        <f t="shared" si="21"/>
        <v>1376.04</v>
      </c>
      <c r="K80" s="263">
        <f t="shared" si="21"/>
        <v>1411.24</v>
      </c>
      <c r="L80" s="263">
        <f t="shared" si="21"/>
        <v>1439.24</v>
      </c>
      <c r="M80" s="263">
        <f t="shared" si="21"/>
        <v>1456.04</v>
      </c>
      <c r="N80" s="263">
        <f t="shared" si="21"/>
        <v>1473.84</v>
      </c>
      <c r="O80" s="263">
        <f t="shared" si="21"/>
        <v>1514.0400000000002</v>
      </c>
      <c r="P80" s="263">
        <f t="shared" si="21"/>
        <v>1423.74</v>
      </c>
      <c r="Q80" s="263">
        <f t="shared" si="21"/>
        <v>1396.94</v>
      </c>
      <c r="R80" s="263">
        <f t="shared" si="21"/>
        <v>1396.1399999999999</v>
      </c>
      <c r="S80" s="263">
        <f t="shared" si="21"/>
        <v>1432.34</v>
      </c>
      <c r="T80" s="263">
        <f t="shared" si="21"/>
        <v>1406.34</v>
      </c>
      <c r="U80" s="263">
        <f t="shared" si="21"/>
        <v>1461.34</v>
      </c>
      <c r="V80" s="263">
        <f t="shared" si="21"/>
        <v>1417.34</v>
      </c>
      <c r="W80" s="263">
        <f t="shared" si="21"/>
        <v>1410.34</v>
      </c>
      <c r="X80" s="263">
        <f t="shared" si="21"/>
        <v>1441.34</v>
      </c>
      <c r="Y80" s="263">
        <f t="shared" si="21"/>
        <v>1566.1399999999999</v>
      </c>
      <c r="Z80" s="263">
        <f t="shared" si="21"/>
        <v>1670.1399999999999</v>
      </c>
      <c r="AA80" s="263">
        <f t="shared" si="21"/>
        <v>1651.2399999999998</v>
      </c>
      <c r="AB80" s="263">
        <f t="shared" si="21"/>
        <v>1599.14</v>
      </c>
      <c r="AC80" s="263">
        <f t="shared" si="21"/>
        <v>1579.8400000000001</v>
      </c>
      <c r="AD80" s="263">
        <f t="shared" si="21"/>
        <v>1589.8400000000001</v>
      </c>
      <c r="AE80" s="263">
        <f t="shared" ref="AE80:AF80" si="22">AE79-AE87</f>
        <v>1506.84</v>
      </c>
      <c r="AF80" s="263">
        <f t="shared" si="22"/>
        <v>1394.24</v>
      </c>
      <c r="AG80" s="261"/>
      <c r="AH80" s="226">
        <f t="shared" ref="AH80:AH97" si="23">MAX(B80:AF80)</f>
        <v>1670.1399999999999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D81" si="24">IF(C64&lt;0,C64*-1,0)</f>
        <v>0</v>
      </c>
      <c r="D81" s="256">
        <f t="shared" si="24"/>
        <v>0</v>
      </c>
      <c r="E81" s="256">
        <f t="shared" si="24"/>
        <v>0</v>
      </c>
      <c r="F81" s="256">
        <f t="shared" si="24"/>
        <v>0</v>
      </c>
      <c r="G81" s="256">
        <f t="shared" si="24"/>
        <v>0</v>
      </c>
      <c r="H81" s="256">
        <f t="shared" si="24"/>
        <v>0</v>
      </c>
      <c r="I81" s="256">
        <f t="shared" si="24"/>
        <v>0</v>
      </c>
      <c r="J81" s="256">
        <f t="shared" si="24"/>
        <v>0</v>
      </c>
      <c r="K81" s="256">
        <f t="shared" si="24"/>
        <v>0</v>
      </c>
      <c r="L81" s="256">
        <f t="shared" si="24"/>
        <v>0</v>
      </c>
      <c r="M81" s="256">
        <f t="shared" si="24"/>
        <v>0</v>
      </c>
      <c r="N81" s="256">
        <f t="shared" si="24"/>
        <v>0</v>
      </c>
      <c r="O81" s="256">
        <f t="shared" si="24"/>
        <v>0</v>
      </c>
      <c r="P81" s="256">
        <f t="shared" si="24"/>
        <v>0</v>
      </c>
      <c r="Q81" s="256">
        <f t="shared" si="24"/>
        <v>0</v>
      </c>
      <c r="R81" s="256">
        <f t="shared" si="24"/>
        <v>0</v>
      </c>
      <c r="S81" s="256">
        <f t="shared" si="24"/>
        <v>0</v>
      </c>
      <c r="T81" s="256">
        <f t="shared" si="24"/>
        <v>0</v>
      </c>
      <c r="U81" s="256">
        <f t="shared" si="24"/>
        <v>0</v>
      </c>
      <c r="V81" s="256">
        <f t="shared" si="24"/>
        <v>0</v>
      </c>
      <c r="W81" s="256">
        <f t="shared" si="24"/>
        <v>0</v>
      </c>
      <c r="X81" s="256">
        <f t="shared" si="24"/>
        <v>0</v>
      </c>
      <c r="Y81" s="256">
        <f t="shared" si="24"/>
        <v>0</v>
      </c>
      <c r="Z81" s="256">
        <f t="shared" si="24"/>
        <v>0</v>
      </c>
      <c r="AA81" s="256">
        <f t="shared" si="24"/>
        <v>0</v>
      </c>
      <c r="AB81" s="256">
        <f t="shared" si="24"/>
        <v>0</v>
      </c>
      <c r="AC81" s="256">
        <f t="shared" si="24"/>
        <v>0</v>
      </c>
      <c r="AD81" s="256">
        <f t="shared" si="24"/>
        <v>0</v>
      </c>
      <c r="AE81" s="256">
        <f t="shared" ref="AE81:AF81" si="25">IF(AE64&lt;0,AE64*-1,0)</f>
        <v>0</v>
      </c>
      <c r="AF81" s="256">
        <f t="shared" si="25"/>
        <v>0</v>
      </c>
      <c r="AG81" s="230"/>
      <c r="AH81" s="226">
        <f t="shared" si="23"/>
        <v>0</v>
      </c>
      <c r="AI81" s="227">
        <f t="shared" ref="AI81:AI97" si="2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D82" si="27">IF(C62&lt;0,C62*-1,0)</f>
        <v>0</v>
      </c>
      <c r="D82" s="256">
        <f t="shared" si="27"/>
        <v>0</v>
      </c>
      <c r="E82" s="256">
        <f t="shared" si="27"/>
        <v>0</v>
      </c>
      <c r="F82" s="256">
        <f t="shared" si="27"/>
        <v>0</v>
      </c>
      <c r="G82" s="256">
        <f t="shared" si="27"/>
        <v>0</v>
      </c>
      <c r="H82" s="256">
        <f t="shared" si="27"/>
        <v>0</v>
      </c>
      <c r="I82" s="256">
        <f t="shared" si="27"/>
        <v>0</v>
      </c>
      <c r="J82" s="256">
        <f t="shared" si="27"/>
        <v>0</v>
      </c>
      <c r="K82" s="256">
        <f t="shared" si="27"/>
        <v>0</v>
      </c>
      <c r="L82" s="256">
        <f t="shared" si="27"/>
        <v>0</v>
      </c>
      <c r="M82" s="256">
        <f t="shared" si="27"/>
        <v>0</v>
      </c>
      <c r="N82" s="256">
        <f t="shared" si="27"/>
        <v>0</v>
      </c>
      <c r="O82" s="256">
        <f t="shared" si="27"/>
        <v>0</v>
      </c>
      <c r="P82" s="256">
        <f t="shared" si="27"/>
        <v>0</v>
      </c>
      <c r="Q82" s="256">
        <f t="shared" si="27"/>
        <v>0</v>
      </c>
      <c r="R82" s="256">
        <f t="shared" si="27"/>
        <v>0</v>
      </c>
      <c r="S82" s="256">
        <f t="shared" si="27"/>
        <v>0</v>
      </c>
      <c r="T82" s="256">
        <f t="shared" si="27"/>
        <v>0</v>
      </c>
      <c r="U82" s="256">
        <f t="shared" si="27"/>
        <v>0</v>
      </c>
      <c r="V82" s="256">
        <f t="shared" si="27"/>
        <v>0</v>
      </c>
      <c r="W82" s="256">
        <f t="shared" si="27"/>
        <v>0</v>
      </c>
      <c r="X82" s="256">
        <f t="shared" si="27"/>
        <v>0</v>
      </c>
      <c r="Y82" s="256">
        <f t="shared" si="27"/>
        <v>0</v>
      </c>
      <c r="Z82" s="256">
        <f t="shared" si="27"/>
        <v>0</v>
      </c>
      <c r="AA82" s="256">
        <f t="shared" si="27"/>
        <v>0</v>
      </c>
      <c r="AB82" s="256">
        <f t="shared" si="27"/>
        <v>0</v>
      </c>
      <c r="AC82" s="256">
        <f t="shared" si="27"/>
        <v>0</v>
      </c>
      <c r="AD82" s="256">
        <f t="shared" si="27"/>
        <v>0</v>
      </c>
      <c r="AE82" s="256">
        <f t="shared" ref="AE82:AF82" si="28">IF(AE62&lt;0,AE62*-1,0)</f>
        <v>0</v>
      </c>
      <c r="AF82" s="256">
        <f t="shared" si="28"/>
        <v>0</v>
      </c>
      <c r="AG82" s="235"/>
      <c r="AH82" s="226">
        <f t="shared" si="23"/>
        <v>0</v>
      </c>
      <c r="AI82" s="227">
        <f t="shared" si="2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D83" si="29">IF(C65&lt;0,C65*-1,0)</f>
        <v>0</v>
      </c>
      <c r="D83" s="256">
        <f t="shared" si="29"/>
        <v>0</v>
      </c>
      <c r="E83" s="256">
        <f t="shared" si="29"/>
        <v>0</v>
      </c>
      <c r="F83" s="256">
        <f t="shared" si="29"/>
        <v>0</v>
      </c>
      <c r="G83" s="256">
        <f t="shared" si="29"/>
        <v>0</v>
      </c>
      <c r="H83" s="256">
        <f t="shared" si="29"/>
        <v>0</v>
      </c>
      <c r="I83" s="256">
        <f t="shared" si="29"/>
        <v>0</v>
      </c>
      <c r="J83" s="256">
        <f t="shared" si="29"/>
        <v>0</v>
      </c>
      <c r="K83" s="256">
        <f t="shared" si="29"/>
        <v>0</v>
      </c>
      <c r="L83" s="256">
        <f t="shared" si="29"/>
        <v>0</v>
      </c>
      <c r="M83" s="256">
        <f t="shared" si="29"/>
        <v>0</v>
      </c>
      <c r="N83" s="256">
        <f t="shared" si="29"/>
        <v>0</v>
      </c>
      <c r="O83" s="256">
        <f t="shared" si="29"/>
        <v>0</v>
      </c>
      <c r="P83" s="256">
        <f t="shared" si="29"/>
        <v>0</v>
      </c>
      <c r="Q83" s="256">
        <f t="shared" si="29"/>
        <v>0</v>
      </c>
      <c r="R83" s="256">
        <f t="shared" si="29"/>
        <v>0</v>
      </c>
      <c r="S83" s="256">
        <f t="shared" si="29"/>
        <v>0</v>
      </c>
      <c r="T83" s="256">
        <f t="shared" si="29"/>
        <v>0</v>
      </c>
      <c r="U83" s="256">
        <f t="shared" si="29"/>
        <v>0</v>
      </c>
      <c r="V83" s="256">
        <f t="shared" si="29"/>
        <v>0</v>
      </c>
      <c r="W83" s="256">
        <f t="shared" si="29"/>
        <v>0</v>
      </c>
      <c r="X83" s="256">
        <f t="shared" si="29"/>
        <v>0</v>
      </c>
      <c r="Y83" s="256">
        <f t="shared" si="29"/>
        <v>0</v>
      </c>
      <c r="Z83" s="256">
        <f t="shared" si="29"/>
        <v>0</v>
      </c>
      <c r="AA83" s="256">
        <f t="shared" si="29"/>
        <v>0</v>
      </c>
      <c r="AB83" s="256">
        <f t="shared" si="29"/>
        <v>0</v>
      </c>
      <c r="AC83" s="256">
        <f t="shared" si="29"/>
        <v>0</v>
      </c>
      <c r="AD83" s="256">
        <f t="shared" si="29"/>
        <v>0</v>
      </c>
      <c r="AE83" s="256">
        <f t="shared" ref="AE83:AF83" si="30">IF(AE65&lt;0,AE65*-1,0)</f>
        <v>0</v>
      </c>
      <c r="AF83" s="256">
        <f t="shared" si="30"/>
        <v>0</v>
      </c>
      <c r="AG83" s="266"/>
      <c r="AH83" s="226">
        <f t="shared" si="23"/>
        <v>0</v>
      </c>
      <c r="AI83" s="227">
        <f t="shared" si="2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329</v>
      </c>
      <c r="C84" s="256">
        <f t="shared" ref="C84:AD84" si="31">IF(C63&lt;0,C63*-1,0)</f>
        <v>347.8</v>
      </c>
      <c r="D84" s="256">
        <f t="shared" si="31"/>
        <v>366</v>
      </c>
      <c r="E84" s="256">
        <f t="shared" si="31"/>
        <v>367</v>
      </c>
      <c r="F84" s="256">
        <f t="shared" si="31"/>
        <v>377.1</v>
      </c>
      <c r="G84" s="256">
        <f t="shared" si="31"/>
        <v>386.3</v>
      </c>
      <c r="H84" s="256">
        <f t="shared" si="31"/>
        <v>389</v>
      </c>
      <c r="I84" s="256">
        <f t="shared" si="31"/>
        <v>379</v>
      </c>
      <c r="J84" s="256">
        <f t="shared" si="31"/>
        <v>380.2</v>
      </c>
      <c r="K84" s="256">
        <f t="shared" si="31"/>
        <v>345</v>
      </c>
      <c r="L84" s="256">
        <f t="shared" si="31"/>
        <v>320</v>
      </c>
      <c r="M84" s="256">
        <f t="shared" si="31"/>
        <v>341.4</v>
      </c>
      <c r="N84" s="256">
        <f t="shared" si="31"/>
        <v>327.7</v>
      </c>
      <c r="O84" s="256">
        <f t="shared" si="31"/>
        <v>300.5</v>
      </c>
      <c r="P84" s="256">
        <f t="shared" si="31"/>
        <v>350</v>
      </c>
      <c r="Q84" s="256">
        <f t="shared" si="31"/>
        <v>373.4</v>
      </c>
      <c r="R84" s="256">
        <f t="shared" si="31"/>
        <v>318.89999999999998</v>
      </c>
      <c r="S84" s="256">
        <f t="shared" si="31"/>
        <v>280</v>
      </c>
      <c r="T84" s="256">
        <f t="shared" si="31"/>
        <v>382</v>
      </c>
      <c r="U84" s="256">
        <f t="shared" si="31"/>
        <v>327</v>
      </c>
      <c r="V84" s="256">
        <f t="shared" si="31"/>
        <v>364</v>
      </c>
      <c r="W84" s="256">
        <f t="shared" si="31"/>
        <v>374</v>
      </c>
      <c r="X84" s="256">
        <f t="shared" si="31"/>
        <v>338</v>
      </c>
      <c r="Y84" s="256">
        <f t="shared" si="31"/>
        <v>270</v>
      </c>
      <c r="Z84" s="256">
        <f t="shared" si="31"/>
        <v>240</v>
      </c>
      <c r="AA84" s="256">
        <f t="shared" si="31"/>
        <v>250</v>
      </c>
      <c r="AB84" s="256">
        <f t="shared" si="31"/>
        <v>276</v>
      </c>
      <c r="AC84" s="256">
        <f t="shared" si="31"/>
        <v>312</v>
      </c>
      <c r="AD84" s="256">
        <f t="shared" si="31"/>
        <v>299</v>
      </c>
      <c r="AE84" s="256">
        <f t="shared" ref="AE84:AF84" si="32">IF(AE63&lt;0,AE63*-1,0)</f>
        <v>348.2</v>
      </c>
      <c r="AF84" s="256">
        <f t="shared" si="32"/>
        <v>367</v>
      </c>
      <c r="AG84" s="266"/>
      <c r="AH84" s="226">
        <f t="shared" si="23"/>
        <v>389</v>
      </c>
      <c r="AI84" s="227">
        <f t="shared" si="26"/>
        <v>240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D85" si="33">IF(C61&lt;0,C61*-1,0)</f>
        <v>0</v>
      </c>
      <c r="D85" s="256">
        <f t="shared" si="33"/>
        <v>0</v>
      </c>
      <c r="E85" s="256">
        <f t="shared" si="33"/>
        <v>0</v>
      </c>
      <c r="F85" s="256">
        <f t="shared" si="33"/>
        <v>0</v>
      </c>
      <c r="G85" s="256">
        <f t="shared" si="33"/>
        <v>0</v>
      </c>
      <c r="H85" s="256">
        <f t="shared" si="33"/>
        <v>0</v>
      </c>
      <c r="I85" s="256">
        <f t="shared" si="33"/>
        <v>0</v>
      </c>
      <c r="J85" s="256">
        <f t="shared" si="33"/>
        <v>0</v>
      </c>
      <c r="K85" s="256">
        <f t="shared" si="33"/>
        <v>0</v>
      </c>
      <c r="L85" s="256">
        <f t="shared" si="33"/>
        <v>0</v>
      </c>
      <c r="M85" s="256">
        <f t="shared" si="33"/>
        <v>0</v>
      </c>
      <c r="N85" s="256">
        <f t="shared" si="33"/>
        <v>0</v>
      </c>
      <c r="O85" s="256">
        <f t="shared" si="33"/>
        <v>0</v>
      </c>
      <c r="P85" s="256">
        <f t="shared" si="33"/>
        <v>0</v>
      </c>
      <c r="Q85" s="256">
        <f t="shared" si="33"/>
        <v>0</v>
      </c>
      <c r="R85" s="256">
        <f t="shared" si="33"/>
        <v>0</v>
      </c>
      <c r="S85" s="256">
        <f t="shared" si="33"/>
        <v>0</v>
      </c>
      <c r="T85" s="256">
        <f t="shared" si="33"/>
        <v>0</v>
      </c>
      <c r="U85" s="256">
        <f t="shared" si="33"/>
        <v>0</v>
      </c>
      <c r="V85" s="256">
        <f t="shared" si="33"/>
        <v>0</v>
      </c>
      <c r="W85" s="256">
        <f t="shared" si="33"/>
        <v>0</v>
      </c>
      <c r="X85" s="256">
        <f t="shared" si="33"/>
        <v>0</v>
      </c>
      <c r="Y85" s="256">
        <f t="shared" si="33"/>
        <v>0</v>
      </c>
      <c r="Z85" s="256">
        <f t="shared" si="33"/>
        <v>0</v>
      </c>
      <c r="AA85" s="256">
        <f t="shared" si="33"/>
        <v>0</v>
      </c>
      <c r="AB85" s="256">
        <f t="shared" si="33"/>
        <v>0</v>
      </c>
      <c r="AC85" s="256">
        <f t="shared" si="33"/>
        <v>0</v>
      </c>
      <c r="AD85" s="256">
        <f t="shared" si="33"/>
        <v>0</v>
      </c>
      <c r="AE85" s="256">
        <f t="shared" ref="AE85:AF85" si="34">IF(AE61&lt;0,AE61*-1,0)</f>
        <v>0</v>
      </c>
      <c r="AF85" s="256">
        <f t="shared" si="34"/>
        <v>0</v>
      </c>
      <c r="AG85" s="266"/>
      <c r="AH85" s="226">
        <f t="shared" si="23"/>
        <v>0</v>
      </c>
      <c r="AI85" s="227">
        <f t="shared" si="2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23"/>
        <v>0</v>
      </c>
      <c r="AI86" s="227">
        <f t="shared" si="2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329</v>
      </c>
      <c r="C87" s="241">
        <f t="shared" ref="C87:AD87" si="35">SUM(C81:C86)</f>
        <v>347.8</v>
      </c>
      <c r="D87" s="241">
        <f t="shared" si="35"/>
        <v>366</v>
      </c>
      <c r="E87" s="241">
        <f t="shared" si="35"/>
        <v>367</v>
      </c>
      <c r="F87" s="241">
        <f t="shared" si="35"/>
        <v>377.1</v>
      </c>
      <c r="G87" s="241">
        <f t="shared" si="35"/>
        <v>386.3</v>
      </c>
      <c r="H87" s="241">
        <f t="shared" si="35"/>
        <v>389</v>
      </c>
      <c r="I87" s="241">
        <f t="shared" si="35"/>
        <v>379</v>
      </c>
      <c r="J87" s="241">
        <f t="shared" si="35"/>
        <v>380.2</v>
      </c>
      <c r="K87" s="241">
        <f t="shared" si="35"/>
        <v>345</v>
      </c>
      <c r="L87" s="241">
        <f t="shared" si="35"/>
        <v>320</v>
      </c>
      <c r="M87" s="241">
        <f t="shared" si="35"/>
        <v>341.4</v>
      </c>
      <c r="N87" s="241">
        <f t="shared" si="35"/>
        <v>327.7</v>
      </c>
      <c r="O87" s="241">
        <f t="shared" si="35"/>
        <v>300.5</v>
      </c>
      <c r="P87" s="241">
        <f t="shared" si="35"/>
        <v>350</v>
      </c>
      <c r="Q87" s="241">
        <f t="shared" si="35"/>
        <v>373.4</v>
      </c>
      <c r="R87" s="241">
        <f t="shared" si="35"/>
        <v>318.89999999999998</v>
      </c>
      <c r="S87" s="241">
        <f t="shared" si="35"/>
        <v>280</v>
      </c>
      <c r="T87" s="241">
        <f t="shared" si="35"/>
        <v>382</v>
      </c>
      <c r="U87" s="241">
        <f t="shared" si="35"/>
        <v>327</v>
      </c>
      <c r="V87" s="241">
        <f t="shared" si="35"/>
        <v>364</v>
      </c>
      <c r="W87" s="241">
        <f t="shared" si="35"/>
        <v>374</v>
      </c>
      <c r="X87" s="241">
        <f t="shared" si="35"/>
        <v>338</v>
      </c>
      <c r="Y87" s="241">
        <f t="shared" si="35"/>
        <v>270</v>
      </c>
      <c r="Z87" s="241">
        <f t="shared" si="35"/>
        <v>240</v>
      </c>
      <c r="AA87" s="241">
        <f t="shared" si="35"/>
        <v>250</v>
      </c>
      <c r="AB87" s="241">
        <f t="shared" si="35"/>
        <v>276</v>
      </c>
      <c r="AC87" s="241">
        <f t="shared" si="35"/>
        <v>312</v>
      </c>
      <c r="AD87" s="241">
        <f t="shared" si="35"/>
        <v>299</v>
      </c>
      <c r="AE87" s="241">
        <f t="shared" ref="AE87:AF87" si="36">SUM(AE81:AE86)</f>
        <v>348.2</v>
      </c>
      <c r="AF87" s="241">
        <f t="shared" si="36"/>
        <v>367</v>
      </c>
      <c r="AG87" s="261"/>
      <c r="AH87" s="226">
        <f t="shared" si="23"/>
        <v>389</v>
      </c>
      <c r="AI87" s="227">
        <f t="shared" si="26"/>
        <v>240</v>
      </c>
      <c r="AK87" s="228"/>
    </row>
    <row r="88" spans="1:88" s="175" customFormat="1" ht="15.75" thickBot="1" x14ac:dyDescent="0.3">
      <c r="A88" s="254" t="s">
        <v>93</v>
      </c>
      <c r="B88" s="241">
        <f>B72-B87</f>
        <v>-324</v>
      </c>
      <c r="C88" s="241">
        <f t="shared" ref="C88:AD88" si="37">C72-C87</f>
        <v>-342.8</v>
      </c>
      <c r="D88" s="241">
        <f t="shared" si="37"/>
        <v>-361</v>
      </c>
      <c r="E88" s="241">
        <f t="shared" si="37"/>
        <v>-362</v>
      </c>
      <c r="F88" s="241">
        <f t="shared" si="37"/>
        <v>-372.1</v>
      </c>
      <c r="G88" s="241">
        <f t="shared" si="37"/>
        <v>-381.3</v>
      </c>
      <c r="H88" s="241">
        <f t="shared" si="37"/>
        <v>-384</v>
      </c>
      <c r="I88" s="241">
        <f t="shared" si="37"/>
        <v>-374</v>
      </c>
      <c r="J88" s="241">
        <f t="shared" si="37"/>
        <v>-375.2</v>
      </c>
      <c r="K88" s="241">
        <f t="shared" si="37"/>
        <v>-340</v>
      </c>
      <c r="L88" s="241">
        <f t="shared" si="37"/>
        <v>-315</v>
      </c>
      <c r="M88" s="241">
        <f t="shared" si="37"/>
        <v>-337.4</v>
      </c>
      <c r="N88" s="241">
        <f t="shared" si="37"/>
        <v>-323.7</v>
      </c>
      <c r="O88" s="241">
        <f t="shared" si="37"/>
        <v>-296.5</v>
      </c>
      <c r="P88" s="241">
        <f t="shared" si="37"/>
        <v>-334</v>
      </c>
      <c r="Q88" s="241">
        <f t="shared" si="37"/>
        <v>-353.4</v>
      </c>
      <c r="R88" s="241">
        <f t="shared" si="37"/>
        <v>-278.09999999999997</v>
      </c>
      <c r="S88" s="241">
        <f t="shared" si="37"/>
        <v>-247</v>
      </c>
      <c r="T88" s="241">
        <f t="shared" si="37"/>
        <v>-349</v>
      </c>
      <c r="U88" s="241">
        <f t="shared" si="37"/>
        <v>-294</v>
      </c>
      <c r="V88" s="241">
        <f t="shared" si="37"/>
        <v>-338</v>
      </c>
      <c r="W88" s="241">
        <f t="shared" si="37"/>
        <v>-345</v>
      </c>
      <c r="X88" s="241">
        <f t="shared" si="37"/>
        <v>-314</v>
      </c>
      <c r="Y88" s="241">
        <f t="shared" si="37"/>
        <v>-246.5</v>
      </c>
      <c r="Z88" s="241">
        <f t="shared" si="37"/>
        <v>-168</v>
      </c>
      <c r="AA88" s="241">
        <f t="shared" si="37"/>
        <v>-177</v>
      </c>
      <c r="AB88" s="241">
        <f t="shared" si="37"/>
        <v>-221.1</v>
      </c>
      <c r="AC88" s="241">
        <f t="shared" si="37"/>
        <v>-257.10000000000002</v>
      </c>
      <c r="AD88" s="241">
        <f t="shared" si="37"/>
        <v>-247.1</v>
      </c>
      <c r="AE88" s="241">
        <f t="shared" ref="AE88:AF88" si="38">AE72-AE87</f>
        <v>-299.09999999999997</v>
      </c>
      <c r="AF88" s="241">
        <f t="shared" si="38"/>
        <v>-361</v>
      </c>
      <c r="AG88" s="261"/>
      <c r="AH88" s="226">
        <f t="shared" si="23"/>
        <v>-168</v>
      </c>
      <c r="AI88" s="227">
        <f t="shared" si="26"/>
        <v>-384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49.94</v>
      </c>
      <c r="C89" s="269">
        <v>49.93</v>
      </c>
      <c r="D89" s="269">
        <v>49.94</v>
      </c>
      <c r="E89" s="269">
        <v>49.975999999999999</v>
      </c>
      <c r="F89" s="269">
        <v>49.997</v>
      </c>
      <c r="G89" s="269">
        <v>49.987000000000002</v>
      </c>
      <c r="H89" s="269">
        <v>49.87</v>
      </c>
      <c r="I89" s="269">
        <v>50.01</v>
      </c>
      <c r="J89" s="269">
        <v>50.023000000000003</v>
      </c>
      <c r="K89" s="269">
        <v>49.957000000000001</v>
      </c>
      <c r="L89" s="269">
        <v>50.033000000000001</v>
      </c>
      <c r="M89" s="269">
        <v>50.055</v>
      </c>
      <c r="N89" s="269">
        <v>50.012999999999998</v>
      </c>
      <c r="O89" s="269">
        <v>49</v>
      </c>
      <c r="P89" s="269">
        <v>50.01</v>
      </c>
      <c r="Q89" s="269">
        <v>49.98</v>
      </c>
      <c r="R89" s="269">
        <v>50.006</v>
      </c>
      <c r="S89" s="269">
        <v>50.006</v>
      </c>
      <c r="T89" s="269">
        <v>50.006</v>
      </c>
      <c r="U89" s="269">
        <v>49.984000000000002</v>
      </c>
      <c r="V89" s="269">
        <v>49.942999999999998</v>
      </c>
      <c r="W89" s="269">
        <v>49.942999999999998</v>
      </c>
      <c r="X89" s="269">
        <v>49.801000000000002</v>
      </c>
      <c r="Y89" s="269">
        <v>49.887</v>
      </c>
      <c r="Z89" s="269">
        <v>49.814</v>
      </c>
      <c r="AA89" s="269">
        <v>49.814</v>
      </c>
      <c r="AB89" s="269">
        <v>49.98</v>
      </c>
      <c r="AC89" s="269">
        <v>49.981999999999999</v>
      </c>
      <c r="AD89" s="269">
        <v>49.968000000000004</v>
      </c>
      <c r="AE89" s="269">
        <v>49.98</v>
      </c>
      <c r="AF89" s="269">
        <v>49.97</v>
      </c>
      <c r="AG89" s="270"/>
      <c r="AH89" s="226">
        <f t="shared" si="23"/>
        <v>50.055</v>
      </c>
      <c r="AI89" s="227">
        <f t="shared" si="26"/>
        <v>49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123.7</v>
      </c>
      <c r="C90" s="245">
        <v>123.2</v>
      </c>
      <c r="D90" s="245">
        <v>123.6</v>
      </c>
      <c r="E90" s="245">
        <v>123.7</v>
      </c>
      <c r="F90" s="245">
        <v>124.5</v>
      </c>
      <c r="G90" s="245">
        <v>125.5</v>
      </c>
      <c r="H90" s="245">
        <v>126</v>
      </c>
      <c r="I90" s="245">
        <v>125.5</v>
      </c>
      <c r="J90" s="245">
        <v>123.8</v>
      </c>
      <c r="K90" s="245">
        <v>122.5</v>
      </c>
      <c r="L90" s="245">
        <v>123.8</v>
      </c>
      <c r="M90" s="245">
        <v>124.6</v>
      </c>
      <c r="N90" s="245">
        <v>123.1</v>
      </c>
      <c r="O90" s="245">
        <v>122.7</v>
      </c>
      <c r="P90" s="245">
        <v>121.9</v>
      </c>
      <c r="Q90" s="245">
        <v>120.3</v>
      </c>
      <c r="R90" s="245">
        <v>124.6</v>
      </c>
      <c r="S90" s="245">
        <v>124.6</v>
      </c>
      <c r="T90" s="245">
        <v>124.6</v>
      </c>
      <c r="U90" s="245">
        <v>124.6</v>
      </c>
      <c r="V90" s="245">
        <v>126</v>
      </c>
      <c r="W90" s="245">
        <v>126</v>
      </c>
      <c r="X90" s="245">
        <v>125</v>
      </c>
      <c r="Y90" s="245">
        <v>126</v>
      </c>
      <c r="Z90" s="245">
        <v>128</v>
      </c>
      <c r="AA90" s="245">
        <v>128</v>
      </c>
      <c r="AB90" s="245">
        <v>124.9</v>
      </c>
      <c r="AC90" s="245">
        <v>125.2</v>
      </c>
      <c r="AD90" s="245">
        <v>125.6</v>
      </c>
      <c r="AE90" s="245">
        <v>125.3</v>
      </c>
      <c r="AF90" s="245">
        <v>126.1</v>
      </c>
      <c r="AG90" s="272"/>
      <c r="AH90" s="226">
        <f t="shared" si="23"/>
        <v>128</v>
      </c>
      <c r="AI90" s="227">
        <f t="shared" si="26"/>
        <v>120.3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128.80000000000001</v>
      </c>
      <c r="C91" s="245">
        <v>128.5</v>
      </c>
      <c r="D91" s="245">
        <v>129</v>
      </c>
      <c r="E91" s="245">
        <v>128.9</v>
      </c>
      <c r="F91" s="245">
        <v>129.4</v>
      </c>
      <c r="G91" s="245">
        <v>129.80000000000001</v>
      </c>
      <c r="H91" s="245">
        <v>129.1</v>
      </c>
      <c r="I91" s="245">
        <v>129.80000000000001</v>
      </c>
      <c r="J91" s="245">
        <v>127.4</v>
      </c>
      <c r="K91" s="245">
        <v>126.9</v>
      </c>
      <c r="L91" s="245">
        <v>127.7</v>
      </c>
      <c r="M91" s="245">
        <v>127.8</v>
      </c>
      <c r="N91" s="245">
        <v>127.2</v>
      </c>
      <c r="O91" s="245">
        <v>126.8</v>
      </c>
      <c r="P91" s="245">
        <v>126</v>
      </c>
      <c r="Q91" s="245">
        <v>125</v>
      </c>
      <c r="R91" s="245">
        <v>127.4</v>
      </c>
      <c r="S91" s="245">
        <v>127.4</v>
      </c>
      <c r="T91" s="245">
        <v>127.4</v>
      </c>
      <c r="U91" s="245">
        <v>127.4</v>
      </c>
      <c r="V91" s="245">
        <v>129</v>
      </c>
      <c r="W91" s="245">
        <v>129</v>
      </c>
      <c r="X91" s="245">
        <v>129</v>
      </c>
      <c r="Y91" s="245">
        <v>129</v>
      </c>
      <c r="Z91" s="245">
        <v>131</v>
      </c>
      <c r="AA91" s="245">
        <v>131</v>
      </c>
      <c r="AB91" s="245">
        <v>129.1</v>
      </c>
      <c r="AC91" s="245">
        <v>129.4</v>
      </c>
      <c r="AD91" s="245">
        <v>130</v>
      </c>
      <c r="AE91" s="245">
        <v>129.69999999999999</v>
      </c>
      <c r="AF91" s="245">
        <v>130.4</v>
      </c>
      <c r="AG91" s="272"/>
      <c r="AH91" s="226">
        <f t="shared" si="23"/>
        <v>131</v>
      </c>
      <c r="AI91" s="227">
        <f t="shared" si="26"/>
        <v>125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131.19999999999999</v>
      </c>
      <c r="C92" s="245">
        <v>130.69999999999999</v>
      </c>
      <c r="D92" s="245">
        <v>131.1</v>
      </c>
      <c r="E92" s="245">
        <v>130.30000000000001</v>
      </c>
      <c r="F92" s="245">
        <v>130.4</v>
      </c>
      <c r="G92" s="245">
        <v>131.6</v>
      </c>
      <c r="H92" s="245">
        <v>128.80000000000001</v>
      </c>
      <c r="I92" s="245">
        <v>129</v>
      </c>
      <c r="J92" s="245">
        <v>127.8</v>
      </c>
      <c r="K92" s="245">
        <v>128.6</v>
      </c>
      <c r="L92" s="245">
        <v>128.5</v>
      </c>
      <c r="M92" s="245">
        <v>130.19999999999999</v>
      </c>
      <c r="N92" s="245">
        <v>129.69999999999999</v>
      </c>
      <c r="O92" s="245">
        <v>129.4</v>
      </c>
      <c r="P92" s="245">
        <v>129.5</v>
      </c>
      <c r="Q92" s="245">
        <v>130.1</v>
      </c>
      <c r="R92" s="245">
        <v>132.4</v>
      </c>
      <c r="S92" s="245">
        <v>132.4</v>
      </c>
      <c r="T92" s="245">
        <v>132.4</v>
      </c>
      <c r="U92" s="245">
        <v>132.4</v>
      </c>
      <c r="V92" s="245">
        <v>132</v>
      </c>
      <c r="W92" s="245">
        <v>132</v>
      </c>
      <c r="X92" s="245">
        <v>129</v>
      </c>
      <c r="Y92" s="245">
        <v>126</v>
      </c>
      <c r="Z92" s="245">
        <v>128</v>
      </c>
      <c r="AA92" s="245">
        <v>128</v>
      </c>
      <c r="AB92" s="245">
        <v>130.6</v>
      </c>
      <c r="AC92" s="245">
        <v>128.69999999999999</v>
      </c>
      <c r="AD92" s="245">
        <v>128.1</v>
      </c>
      <c r="AE92" s="245">
        <v>130</v>
      </c>
      <c r="AF92" s="245">
        <v>130.9</v>
      </c>
      <c r="AG92" s="272"/>
      <c r="AH92" s="226">
        <f t="shared" si="23"/>
        <v>132.4</v>
      </c>
      <c r="AI92" s="227">
        <f t="shared" si="26"/>
        <v>126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133.6</v>
      </c>
      <c r="C93" s="245">
        <v>131.9</v>
      </c>
      <c r="D93" s="245">
        <v>132.4</v>
      </c>
      <c r="E93" s="245">
        <v>132.5</v>
      </c>
      <c r="F93" s="245">
        <v>132.80000000000001</v>
      </c>
      <c r="G93" s="245">
        <v>134</v>
      </c>
      <c r="H93" s="245">
        <v>134</v>
      </c>
      <c r="I93" s="245">
        <v>134</v>
      </c>
      <c r="J93" s="245">
        <v>131.30000000000001</v>
      </c>
      <c r="K93" s="245">
        <v>131.4</v>
      </c>
      <c r="L93" s="245">
        <v>132.5</v>
      </c>
      <c r="M93" s="245">
        <v>132.69999999999999</v>
      </c>
      <c r="N93" s="245">
        <v>132</v>
      </c>
      <c r="O93" s="245">
        <v>131.9</v>
      </c>
      <c r="P93" s="245">
        <v>133.80000000000001</v>
      </c>
      <c r="Q93" s="245">
        <v>133.30000000000001</v>
      </c>
      <c r="R93" s="245">
        <v>135.5</v>
      </c>
      <c r="S93" s="245">
        <v>135.5</v>
      </c>
      <c r="T93" s="245">
        <v>135.5</v>
      </c>
      <c r="U93" s="245">
        <v>135.5</v>
      </c>
      <c r="V93" s="245">
        <v>134</v>
      </c>
      <c r="W93" s="245">
        <v>134</v>
      </c>
      <c r="X93" s="245">
        <v>130</v>
      </c>
      <c r="Y93" s="245">
        <v>127</v>
      </c>
      <c r="Z93" s="245">
        <v>132</v>
      </c>
      <c r="AA93" s="245">
        <v>132</v>
      </c>
      <c r="AB93" s="245">
        <v>134.19999999999999</v>
      </c>
      <c r="AC93" s="245">
        <v>133.19999999999999</v>
      </c>
      <c r="AD93" s="245">
        <v>133.30000000000001</v>
      </c>
      <c r="AE93" s="245">
        <v>132.30000000000001</v>
      </c>
      <c r="AF93" s="245">
        <v>133.69999999999999</v>
      </c>
      <c r="AG93" s="272"/>
      <c r="AH93" s="226">
        <f t="shared" si="23"/>
        <v>135.5</v>
      </c>
      <c r="AI93" s="227">
        <f t="shared" si="26"/>
        <v>127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135</v>
      </c>
      <c r="C94" s="274">
        <v>132.19999999999999</v>
      </c>
      <c r="D94" s="274">
        <v>131.19999999999999</v>
      </c>
      <c r="E94" s="274">
        <v>133.6</v>
      </c>
      <c r="F94" s="274">
        <v>134.5</v>
      </c>
      <c r="G94" s="274">
        <v>134.4</v>
      </c>
      <c r="H94" s="274">
        <v>133</v>
      </c>
      <c r="I94" s="274">
        <v>134.4</v>
      </c>
      <c r="J94" s="274">
        <v>133.5</v>
      </c>
      <c r="K94" s="274">
        <v>134.19999999999999</v>
      </c>
      <c r="L94" s="274">
        <v>132.19999999999999</v>
      </c>
      <c r="M94" s="274">
        <v>134.19999999999999</v>
      </c>
      <c r="N94" s="274">
        <v>130.1</v>
      </c>
      <c r="O94" s="274">
        <v>135.19999999999999</v>
      </c>
      <c r="P94" s="274">
        <v>134.6</v>
      </c>
      <c r="Q94" s="274">
        <v>132.6</v>
      </c>
      <c r="R94" s="274">
        <v>131.19999999999999</v>
      </c>
      <c r="S94" s="274">
        <v>131.19999999999999</v>
      </c>
      <c r="T94" s="274">
        <v>131.19999999999999</v>
      </c>
      <c r="U94" s="274">
        <v>131.19999999999999</v>
      </c>
      <c r="V94" s="274">
        <v>134</v>
      </c>
      <c r="W94" s="274">
        <v>134</v>
      </c>
      <c r="X94" s="274">
        <v>130</v>
      </c>
      <c r="Y94" s="274">
        <v>131</v>
      </c>
      <c r="Z94" s="274">
        <v>134</v>
      </c>
      <c r="AA94" s="274">
        <v>134</v>
      </c>
      <c r="AB94" s="274">
        <v>130.80000000000001</v>
      </c>
      <c r="AC94" s="274">
        <v>131.4</v>
      </c>
      <c r="AD94" s="274">
        <v>133.6</v>
      </c>
      <c r="AE94" s="274">
        <v>131.9</v>
      </c>
      <c r="AF94" s="274">
        <v>134.4</v>
      </c>
      <c r="AG94" s="275"/>
      <c r="AH94" s="226">
        <f t="shared" si="23"/>
        <v>135.19999999999999</v>
      </c>
      <c r="AI94" s="227">
        <f t="shared" si="26"/>
        <v>130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135.19999999999999</v>
      </c>
      <c r="C95" s="245">
        <v>129.9</v>
      </c>
      <c r="D95" s="245">
        <v>129</v>
      </c>
      <c r="E95" s="245">
        <v>132.1</v>
      </c>
      <c r="F95" s="245">
        <v>132.4</v>
      </c>
      <c r="G95" s="245">
        <v>131.19999999999999</v>
      </c>
      <c r="H95" s="245">
        <v>131.19999999999999</v>
      </c>
      <c r="I95" s="245">
        <v>132</v>
      </c>
      <c r="J95" s="245">
        <v>131</v>
      </c>
      <c r="K95" s="245">
        <v>132.6</v>
      </c>
      <c r="L95" s="245">
        <v>129.30000000000001</v>
      </c>
      <c r="M95" s="245">
        <v>134.6</v>
      </c>
      <c r="N95" s="245">
        <v>121.7</v>
      </c>
      <c r="O95" s="245">
        <v>128.1</v>
      </c>
      <c r="P95" s="245">
        <v>129.69999999999999</v>
      </c>
      <c r="Q95" s="245">
        <v>137.5</v>
      </c>
      <c r="R95" s="245">
        <v>125.5</v>
      </c>
      <c r="S95" s="245">
        <v>125.5</v>
      </c>
      <c r="T95" s="245">
        <v>125.5</v>
      </c>
      <c r="U95" s="245">
        <v>125.5</v>
      </c>
      <c r="V95" s="245">
        <v>131</v>
      </c>
      <c r="W95" s="245">
        <v>131</v>
      </c>
      <c r="X95" s="245">
        <v>125</v>
      </c>
      <c r="Y95" s="245">
        <v>18</v>
      </c>
      <c r="Z95" s="245">
        <v>132</v>
      </c>
      <c r="AA95" s="245">
        <v>132</v>
      </c>
      <c r="AB95" s="245">
        <v>127.4</v>
      </c>
      <c r="AC95" s="245">
        <v>126.6</v>
      </c>
      <c r="AD95" s="245">
        <v>127.3</v>
      </c>
      <c r="AE95" s="245">
        <v>126.8</v>
      </c>
      <c r="AF95" s="245">
        <v>132.80000000000001</v>
      </c>
      <c r="AG95" s="272"/>
      <c r="AH95" s="226">
        <f t="shared" si="23"/>
        <v>137.5</v>
      </c>
      <c r="AI95" s="227">
        <f t="shared" si="26"/>
        <v>18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</v>
      </c>
      <c r="C96" s="276">
        <v>65</v>
      </c>
      <c r="D96" s="276">
        <v>65.099999999999994</v>
      </c>
      <c r="E96" s="276">
        <v>65.099999999999994</v>
      </c>
      <c r="F96" s="276">
        <v>65.599999999999994</v>
      </c>
      <c r="G96" s="276">
        <v>65.400000000000006</v>
      </c>
      <c r="H96" s="276">
        <v>65.3</v>
      </c>
      <c r="I96" s="276">
        <v>65.099999999999994</v>
      </c>
      <c r="J96" s="276">
        <v>64</v>
      </c>
      <c r="K96" s="276">
        <v>64</v>
      </c>
      <c r="L96" s="276">
        <v>64.5</v>
      </c>
      <c r="M96" s="276">
        <v>64.5</v>
      </c>
      <c r="N96" s="276">
        <v>64.099999999999994</v>
      </c>
      <c r="O96" s="276">
        <v>63.8</v>
      </c>
      <c r="P96" s="276">
        <v>63.1</v>
      </c>
      <c r="Q96" s="276">
        <v>62.8</v>
      </c>
      <c r="R96" s="276">
        <v>64</v>
      </c>
      <c r="S96" s="276">
        <v>64</v>
      </c>
      <c r="T96" s="276">
        <v>64</v>
      </c>
      <c r="U96" s="276">
        <v>64</v>
      </c>
      <c r="V96" s="276">
        <v>64</v>
      </c>
      <c r="W96" s="276">
        <v>64</v>
      </c>
      <c r="X96" s="276">
        <v>65</v>
      </c>
      <c r="Y96" s="276">
        <v>65</v>
      </c>
      <c r="Z96" s="276">
        <v>66</v>
      </c>
      <c r="AA96" s="276">
        <v>66</v>
      </c>
      <c r="AB96" s="276">
        <v>65.3</v>
      </c>
      <c r="AC96" s="276">
        <v>65.5</v>
      </c>
      <c r="AD96" s="276">
        <v>65.8</v>
      </c>
      <c r="AE96" s="276">
        <v>65.8</v>
      </c>
      <c r="AF96" s="276">
        <v>65.7</v>
      </c>
      <c r="AG96" s="277"/>
      <c r="AH96" s="226">
        <f t="shared" si="23"/>
        <v>66</v>
      </c>
      <c r="AI96" s="227">
        <f t="shared" si="26"/>
        <v>62.8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23"/>
        <v>0</v>
      </c>
      <c r="AI97" s="227">
        <f t="shared" si="26"/>
        <v>0</v>
      </c>
    </row>
    <row r="98" spans="1:37" ht="15.75" thickBot="1" x14ac:dyDescent="0.3">
      <c r="A98" s="279" t="s">
        <v>102</v>
      </c>
      <c r="B98" s="280">
        <f t="shared" ref="B98:AE98" si="39">SUM(B15,B18,B21:B22,B46,B48:B49,B51,B53,B99:B102,B124,B130,B136,B145,B147,B159,B166,B169:B170,B177,B179,B181,B185:B187,B189:B191,B196,B202:B203,B205:B207,B215,B220)</f>
        <v>70.40000000000002</v>
      </c>
      <c r="C98" s="280">
        <f t="shared" si="39"/>
        <v>55.940000000000012</v>
      </c>
      <c r="D98" s="280">
        <f t="shared" si="39"/>
        <v>37.539999999999992</v>
      </c>
      <c r="E98" s="280">
        <f t="shared" si="39"/>
        <v>25.44</v>
      </c>
      <c r="F98" s="280">
        <f t="shared" si="39"/>
        <v>34.240000000000016</v>
      </c>
      <c r="G98" s="280">
        <f t="shared" si="39"/>
        <v>57.140000000000015</v>
      </c>
      <c r="H98" s="280">
        <f t="shared" si="39"/>
        <v>88.440000000000012</v>
      </c>
      <c r="I98" s="280">
        <f t="shared" si="39"/>
        <v>118.14000000000001</v>
      </c>
      <c r="J98" s="280">
        <f t="shared" si="39"/>
        <v>163.64000000000001</v>
      </c>
      <c r="K98" s="280">
        <f t="shared" si="39"/>
        <v>192.74000000000004</v>
      </c>
      <c r="L98" s="280">
        <f t="shared" si="39"/>
        <v>210.34000000000003</v>
      </c>
      <c r="M98" s="280">
        <f t="shared" si="39"/>
        <v>253.44</v>
      </c>
      <c r="N98" s="280">
        <f t="shared" si="39"/>
        <v>218.94000000000005</v>
      </c>
      <c r="O98" s="280">
        <f t="shared" si="39"/>
        <v>235.23999999999998</v>
      </c>
      <c r="P98" s="280">
        <f t="shared" si="39"/>
        <v>206.24</v>
      </c>
      <c r="Q98" s="280">
        <f t="shared" si="39"/>
        <v>208.1</v>
      </c>
      <c r="R98" s="280">
        <f t="shared" si="39"/>
        <v>202.40000000000006</v>
      </c>
      <c r="S98" s="280">
        <f t="shared" si="39"/>
        <v>204.70000000000002</v>
      </c>
      <c r="T98" s="280">
        <f t="shared" si="39"/>
        <v>204.70000000000002</v>
      </c>
      <c r="U98" s="280">
        <f t="shared" si="39"/>
        <v>204.70000000000002</v>
      </c>
      <c r="V98" s="280">
        <f t="shared" si="39"/>
        <v>210.10000000000002</v>
      </c>
      <c r="W98" s="280">
        <f t="shared" si="39"/>
        <v>210.10000000000002</v>
      </c>
      <c r="X98" s="280">
        <f t="shared" si="39"/>
        <v>218.10000000000002</v>
      </c>
      <c r="Y98" s="280">
        <f t="shared" si="39"/>
        <v>278.70000000000005</v>
      </c>
      <c r="Z98" s="280">
        <f t="shared" si="39"/>
        <v>281.70000000000005</v>
      </c>
      <c r="AA98" s="280">
        <f t="shared" si="39"/>
        <v>281.70000000000005</v>
      </c>
      <c r="AB98" s="280">
        <f t="shared" si="39"/>
        <v>218.29999999999998</v>
      </c>
      <c r="AC98" s="280">
        <f t="shared" si="39"/>
        <v>163.9</v>
      </c>
      <c r="AD98" s="280">
        <f t="shared" si="39"/>
        <v>145.1</v>
      </c>
      <c r="AE98" s="280">
        <f t="shared" si="39"/>
        <v>131.4</v>
      </c>
      <c r="AF98" s="280">
        <f t="shared" ref="AF98" si="40">SUM(AF15,AF18,AF21:AF22,AF46,AF48:AF49,AF51,AF53,AF99:AF102,AF124,AF130,AF136,AF145,AF147,AF159,AF166,AF169:AF170,AF177,AF179,AF181,AF185:AF187,AF189:AF191,AF196,AF202:AF203,AF205:AF207,AF215,AF220)</f>
        <v>81.699999999999989</v>
      </c>
      <c r="AG98" s="281"/>
      <c r="AH98" s="226">
        <f>MAX(C98:AF98)</f>
        <v>281.70000000000005</v>
      </c>
      <c r="AI98" s="227">
        <f>MIN(C98:AF98)</f>
        <v>25.44</v>
      </c>
    </row>
    <row r="99" spans="1:37" x14ac:dyDescent="0.25">
      <c r="A99" s="268" t="s">
        <v>103</v>
      </c>
      <c r="B99" s="282">
        <f>33.5+13</f>
        <v>46.5</v>
      </c>
      <c r="C99" s="282">
        <f>31.2+12.8</f>
        <v>44</v>
      </c>
      <c r="D99" s="282">
        <f>31.5+12.4</f>
        <v>43.9</v>
      </c>
      <c r="E99" s="282">
        <v>43</v>
      </c>
      <c r="F99" s="282">
        <v>39</v>
      </c>
      <c r="G99" s="282">
        <v>39</v>
      </c>
      <c r="H99" s="282">
        <v>42</v>
      </c>
      <c r="I99" s="282">
        <v>51</v>
      </c>
      <c r="J99" s="282">
        <v>68</v>
      </c>
      <c r="K99" s="282">
        <v>75</v>
      </c>
      <c r="L99" s="282">
        <v>63</v>
      </c>
      <c r="M99" s="282">
        <v>89</v>
      </c>
      <c r="N99" s="282">
        <v>59.9</v>
      </c>
      <c r="O99" s="282">
        <v>53.3</v>
      </c>
      <c r="P99" s="282">
        <v>93.2</v>
      </c>
      <c r="Q99" s="282">
        <v>100.2</v>
      </c>
      <c r="R99" s="282">
        <v>96.9</v>
      </c>
      <c r="S99" s="282">
        <v>96.9</v>
      </c>
      <c r="T99" s="282">
        <v>96.9</v>
      </c>
      <c r="U99" s="282">
        <v>96.9</v>
      </c>
      <c r="V99" s="282">
        <f>43+28</f>
        <v>71</v>
      </c>
      <c r="W99" s="282">
        <f>43+28</f>
        <v>71</v>
      </c>
      <c r="X99" s="282">
        <v>85</v>
      </c>
      <c r="Y99" s="282">
        <f>48+33</f>
        <v>81</v>
      </c>
      <c r="Z99" s="282">
        <v>71</v>
      </c>
      <c r="AA99" s="282">
        <v>71</v>
      </c>
      <c r="AB99" s="282">
        <f>38.1+24.7</f>
        <v>62.8</v>
      </c>
      <c r="AC99" s="282">
        <v>22.3</v>
      </c>
      <c r="AD99" s="282">
        <v>14.7</v>
      </c>
      <c r="AE99" s="282">
        <f>41.2+22.9</f>
        <v>64.099999999999994</v>
      </c>
      <c r="AF99" s="282">
        <f>25.3+8.9</f>
        <v>34.200000000000003</v>
      </c>
      <c r="AG99" s="283">
        <v>75</v>
      </c>
      <c r="AH99" s="226">
        <f t="shared" ref="AH99:AH106" si="41">IF(ABS(MAX(C99:AF99))&gt;ABS(MIN(C99:AF99)),MAX(C99:AF99),MIN(C99:AF99))</f>
        <v>100.2</v>
      </c>
      <c r="AI99" s="284">
        <f t="shared" ref="AI99:AI106" si="42">INDEX($C$9:$AF$9,1,MATCH(AH99,C99:AF99,0))</f>
        <v>0.5</v>
      </c>
    </row>
    <row r="100" spans="1:37" x14ac:dyDescent="0.25">
      <c r="A100" s="271" t="s">
        <v>104</v>
      </c>
      <c r="B100" s="285">
        <f>-75-79.1</f>
        <v>-154.1</v>
      </c>
      <c r="C100" s="285">
        <f>-77.9-81.8</f>
        <v>-159.69999999999999</v>
      </c>
      <c r="D100" s="285">
        <f>-80.7-85.1</f>
        <v>-165.8</v>
      </c>
      <c r="E100" s="285">
        <v>-172</v>
      </c>
      <c r="F100" s="285">
        <v>-162</v>
      </c>
      <c r="G100" s="285">
        <v>-141</v>
      </c>
      <c r="H100" s="285">
        <v>-121</v>
      </c>
      <c r="I100" s="285">
        <v>-106</v>
      </c>
      <c r="J100" s="285">
        <v>-95</v>
      </c>
      <c r="K100" s="285">
        <v>-75</v>
      </c>
      <c r="L100" s="285">
        <v>-107</v>
      </c>
      <c r="M100" s="285">
        <v>-89.6</v>
      </c>
      <c r="N100" s="285">
        <v>-95.8</v>
      </c>
      <c r="O100" s="285">
        <v>-94.7</v>
      </c>
      <c r="P100" s="285">
        <v>-89.2</v>
      </c>
      <c r="Q100" s="285">
        <v>-90</v>
      </c>
      <c r="R100" s="285">
        <v>-90.2</v>
      </c>
      <c r="S100" s="285">
        <v>-90.2</v>
      </c>
      <c r="T100" s="285">
        <v>-90.2</v>
      </c>
      <c r="U100" s="285">
        <v>-90.2</v>
      </c>
      <c r="V100" s="285">
        <v>-64</v>
      </c>
      <c r="W100" s="285">
        <v>-64</v>
      </c>
      <c r="X100" s="285">
        <v>-70</v>
      </c>
      <c r="Y100" s="285">
        <v>-74</v>
      </c>
      <c r="Z100" s="285">
        <v>-48</v>
      </c>
      <c r="AA100" s="285">
        <v>-48</v>
      </c>
      <c r="AB100" s="285">
        <f>-42.6-51.3</f>
        <v>-93.9</v>
      </c>
      <c r="AC100" s="285">
        <f>-46-56.7</f>
        <v>-102.7</v>
      </c>
      <c r="AD100" s="285">
        <f>-50.5-60.8</f>
        <v>-111.3</v>
      </c>
      <c r="AE100" s="285">
        <f>-63.3-71.3</f>
        <v>-134.6</v>
      </c>
      <c r="AF100" s="285">
        <f>-65.5-68.9</f>
        <v>-134.4</v>
      </c>
      <c r="AG100" s="283">
        <v>240</v>
      </c>
      <c r="AH100" s="226">
        <f t="shared" si="41"/>
        <v>-172</v>
      </c>
      <c r="AI100" s="284">
        <f t="shared" si="42"/>
        <v>0.125</v>
      </c>
    </row>
    <row r="101" spans="1:37" x14ac:dyDescent="0.25">
      <c r="A101" s="271" t="s">
        <v>105</v>
      </c>
      <c r="B101" s="285">
        <v>-6.7</v>
      </c>
      <c r="C101" s="285">
        <v>-9.1999999999999993</v>
      </c>
      <c r="D101" s="285">
        <v>-10.5</v>
      </c>
      <c r="E101" s="285">
        <v>-10.5</v>
      </c>
      <c r="F101" s="285">
        <v>-8.9</v>
      </c>
      <c r="G101" s="285">
        <v>-7</v>
      </c>
      <c r="H101" s="285">
        <v>1.3</v>
      </c>
      <c r="I101" s="285">
        <v>2</v>
      </c>
      <c r="J101" s="285">
        <v>4.5</v>
      </c>
      <c r="K101" s="285">
        <v>6.6</v>
      </c>
      <c r="L101" s="285">
        <v>16.3</v>
      </c>
      <c r="M101" s="285">
        <v>16.2</v>
      </c>
      <c r="N101" s="285">
        <v>17.5</v>
      </c>
      <c r="O101" s="285">
        <v>24.7</v>
      </c>
      <c r="P101" s="285">
        <v>9.1999999999999993</v>
      </c>
      <c r="Q101" s="285">
        <v>8.1</v>
      </c>
      <c r="R101" s="285">
        <v>5.9</v>
      </c>
      <c r="S101" s="285">
        <v>5.9</v>
      </c>
      <c r="T101" s="285">
        <v>5.9</v>
      </c>
      <c r="U101" s="285">
        <v>5.9</v>
      </c>
      <c r="V101" s="285">
        <v>11</v>
      </c>
      <c r="W101" s="285">
        <v>11</v>
      </c>
      <c r="X101" s="285">
        <v>11</v>
      </c>
      <c r="Y101" s="285">
        <v>28</v>
      </c>
      <c r="Z101" s="285">
        <v>47</v>
      </c>
      <c r="AA101" s="285">
        <v>47</v>
      </c>
      <c r="AB101" s="285">
        <v>29.6</v>
      </c>
      <c r="AC101" s="285">
        <v>33.700000000000003</v>
      </c>
      <c r="AD101" s="285">
        <v>31.7</v>
      </c>
      <c r="AE101" s="285">
        <v>16.899999999999999</v>
      </c>
      <c r="AF101" s="285">
        <v>-3.1</v>
      </c>
      <c r="AG101" s="283">
        <v>60</v>
      </c>
      <c r="AH101" s="226">
        <f t="shared" si="41"/>
        <v>47</v>
      </c>
      <c r="AI101" s="284">
        <f t="shared" si="42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51.9</v>
      </c>
      <c r="M102" s="287">
        <v>46.8</v>
      </c>
      <c r="N102" s="287">
        <v>44.3</v>
      </c>
      <c r="O102" s="287">
        <v>59.1</v>
      </c>
      <c r="P102" s="287">
        <v>0</v>
      </c>
      <c r="Q102" s="287">
        <v>0</v>
      </c>
      <c r="R102" s="287">
        <v>0</v>
      </c>
      <c r="S102" s="287">
        <v>0</v>
      </c>
      <c r="T102" s="287">
        <v>0</v>
      </c>
      <c r="U102" s="287">
        <v>0</v>
      </c>
      <c r="V102" s="287">
        <v>0</v>
      </c>
      <c r="W102" s="287">
        <v>0</v>
      </c>
      <c r="X102" s="287">
        <v>0</v>
      </c>
      <c r="Y102" s="287">
        <v>53</v>
      </c>
      <c r="Z102" s="287">
        <v>21</v>
      </c>
      <c r="AA102" s="287">
        <v>21</v>
      </c>
      <c r="AB102" s="287">
        <v>35.9</v>
      </c>
      <c r="AC102" s="287">
        <v>26.7</v>
      </c>
      <c r="AD102" s="287">
        <v>26.1</v>
      </c>
      <c r="AE102" s="287">
        <v>0</v>
      </c>
      <c r="AF102" s="287">
        <v>0</v>
      </c>
      <c r="AG102" s="288">
        <v>120</v>
      </c>
      <c r="AH102" s="226">
        <f t="shared" si="41"/>
        <v>59.1</v>
      </c>
      <c r="AI102" s="284">
        <f t="shared" si="42"/>
        <v>0.41666666666666702</v>
      </c>
    </row>
    <row r="103" spans="1:37" x14ac:dyDescent="0.25">
      <c r="A103" s="286" t="s">
        <v>107</v>
      </c>
      <c r="B103" s="287">
        <v>39.6</v>
      </c>
      <c r="C103" s="287">
        <v>29</v>
      </c>
      <c r="D103" s="287">
        <v>25.9</v>
      </c>
      <c r="E103" s="287">
        <v>27.2</v>
      </c>
      <c r="F103" s="287">
        <v>20.5</v>
      </c>
      <c r="G103" s="287">
        <v>37.4</v>
      </c>
      <c r="H103" s="287">
        <v>47</v>
      </c>
      <c r="I103" s="287">
        <v>50.4</v>
      </c>
      <c r="J103" s="287">
        <v>53.3</v>
      </c>
      <c r="K103" s="287">
        <v>77</v>
      </c>
      <c r="L103" s="287">
        <v>55.5</v>
      </c>
      <c r="M103" s="287">
        <v>43.4</v>
      </c>
      <c r="N103" s="287">
        <v>44.2</v>
      </c>
      <c r="O103" s="287">
        <v>61.8</v>
      </c>
      <c r="P103" s="287">
        <v>60.5</v>
      </c>
      <c r="Q103" s="287">
        <v>45</v>
      </c>
      <c r="R103" s="287">
        <v>50.5</v>
      </c>
      <c r="S103" s="287">
        <v>50.5</v>
      </c>
      <c r="T103" s="287">
        <v>50.5</v>
      </c>
      <c r="U103" s="287">
        <v>50.5</v>
      </c>
      <c r="V103" s="287">
        <v>54</v>
      </c>
      <c r="W103" s="287">
        <v>54</v>
      </c>
      <c r="X103" s="287">
        <v>45</v>
      </c>
      <c r="Y103" s="287">
        <v>40</v>
      </c>
      <c r="Z103" s="287">
        <v>56</v>
      </c>
      <c r="AA103" s="287">
        <v>56</v>
      </c>
      <c r="AB103" s="287">
        <v>32.799999999999997</v>
      </c>
      <c r="AC103" s="287">
        <v>26.7</v>
      </c>
      <c r="AD103" s="287">
        <v>32.6</v>
      </c>
      <c r="AE103" s="287">
        <v>20.3</v>
      </c>
      <c r="AF103" s="287">
        <v>15.6</v>
      </c>
      <c r="AG103" s="288"/>
      <c r="AH103" s="226">
        <f t="shared" si="41"/>
        <v>77</v>
      </c>
      <c r="AI103" s="284">
        <f t="shared" si="42"/>
        <v>0.29166666666666669</v>
      </c>
    </row>
    <row r="104" spans="1:37" x14ac:dyDescent="0.25">
      <c r="A104" s="286" t="s">
        <v>108</v>
      </c>
      <c r="B104" s="287">
        <v>63.3</v>
      </c>
      <c r="C104" s="287">
        <v>58.8</v>
      </c>
      <c r="D104" s="287">
        <v>50.9</v>
      </c>
      <c r="E104" s="287">
        <v>42.6</v>
      </c>
      <c r="F104" s="287">
        <v>50.6</v>
      </c>
      <c r="G104" s="287">
        <v>57.3</v>
      </c>
      <c r="H104" s="287">
        <v>53</v>
      </c>
      <c r="I104" s="287">
        <v>48</v>
      </c>
      <c r="J104" s="287">
        <v>34.700000000000003</v>
      </c>
      <c r="K104" s="287">
        <v>21.2</v>
      </c>
      <c r="L104" s="287">
        <v>29.9</v>
      </c>
      <c r="M104" s="287">
        <v>34.1</v>
      </c>
      <c r="N104" s="287">
        <v>40</v>
      </c>
      <c r="O104" s="287">
        <v>58.3</v>
      </c>
      <c r="P104" s="287">
        <v>9.4</v>
      </c>
      <c r="Q104" s="287">
        <v>-18.7</v>
      </c>
      <c r="R104" s="287">
        <v>3.3</v>
      </c>
      <c r="S104" s="287">
        <v>3.3</v>
      </c>
      <c r="T104" s="287">
        <v>3.3</v>
      </c>
      <c r="U104" s="287">
        <v>3.3</v>
      </c>
      <c r="V104" s="287">
        <v>41</v>
      </c>
      <c r="W104" s="287">
        <v>41</v>
      </c>
      <c r="X104" s="287">
        <v>11</v>
      </c>
      <c r="Y104" s="287">
        <v>29</v>
      </c>
      <c r="Z104" s="287">
        <v>33</v>
      </c>
      <c r="AA104" s="287">
        <v>33</v>
      </c>
      <c r="AB104" s="287">
        <v>37.299999999999997</v>
      </c>
      <c r="AC104" s="287">
        <v>45.1</v>
      </c>
      <c r="AD104" s="287">
        <v>60.4</v>
      </c>
      <c r="AE104" s="287">
        <v>40.6</v>
      </c>
      <c r="AF104" s="287">
        <v>66.5</v>
      </c>
      <c r="AG104" s="289"/>
      <c r="AH104" s="226">
        <f t="shared" si="41"/>
        <v>66.5</v>
      </c>
      <c r="AI104" s="284">
        <f t="shared" si="42"/>
        <v>0.95833333333333304</v>
      </c>
    </row>
    <row r="105" spans="1:37" x14ac:dyDescent="0.25">
      <c r="A105" s="290" t="s">
        <v>109</v>
      </c>
      <c r="B105" s="274">
        <v>67.5</v>
      </c>
      <c r="C105" s="274">
        <v>67.8</v>
      </c>
      <c r="D105" s="274">
        <v>71.900000000000006</v>
      </c>
      <c r="E105" s="274">
        <v>75.7</v>
      </c>
      <c r="F105" s="274">
        <v>77.3</v>
      </c>
      <c r="G105" s="274">
        <v>81</v>
      </c>
      <c r="H105" s="274">
        <v>76</v>
      </c>
      <c r="I105" s="274">
        <v>73.7</v>
      </c>
      <c r="J105" s="274">
        <v>74.900000000000006</v>
      </c>
      <c r="K105" s="274">
        <v>72.2</v>
      </c>
      <c r="L105" s="274">
        <v>65.2</v>
      </c>
      <c r="M105" s="274">
        <v>64.599999999999994</v>
      </c>
      <c r="N105" s="274">
        <v>64.5</v>
      </c>
      <c r="O105" s="274">
        <v>67.2</v>
      </c>
      <c r="P105" s="274">
        <v>72.900000000000006</v>
      </c>
      <c r="Q105" s="274">
        <v>68.5</v>
      </c>
      <c r="R105" s="274">
        <v>70.2</v>
      </c>
      <c r="S105" s="274">
        <v>70.2</v>
      </c>
      <c r="T105" s="274">
        <v>70.2</v>
      </c>
      <c r="U105" s="274">
        <v>70.2</v>
      </c>
      <c r="V105" s="274">
        <v>56</v>
      </c>
      <c r="W105" s="274">
        <v>56</v>
      </c>
      <c r="X105" s="274">
        <v>42</v>
      </c>
      <c r="Y105" s="274">
        <v>35</v>
      </c>
      <c r="Z105" s="274">
        <v>47</v>
      </c>
      <c r="AA105" s="274">
        <v>47</v>
      </c>
      <c r="AB105" s="274">
        <v>58.2</v>
      </c>
      <c r="AC105" s="274">
        <v>58.7</v>
      </c>
      <c r="AD105" s="274">
        <v>61.7</v>
      </c>
      <c r="AE105" s="274">
        <v>66.599999999999994</v>
      </c>
      <c r="AF105" s="274">
        <v>70.5</v>
      </c>
      <c r="AG105" s="289"/>
      <c r="AH105" s="226">
        <f t="shared" si="41"/>
        <v>81</v>
      </c>
      <c r="AI105" s="284">
        <f t="shared" si="42"/>
        <v>0.20833333333333301</v>
      </c>
    </row>
    <row r="106" spans="1:37" ht="15.75" thickBot="1" x14ac:dyDescent="0.3">
      <c r="A106" s="290" t="s">
        <v>110</v>
      </c>
      <c r="B106" s="274">
        <v>96.5</v>
      </c>
      <c r="C106" s="274">
        <v>101.9</v>
      </c>
      <c r="D106" s="274">
        <v>102.6</v>
      </c>
      <c r="E106" s="274">
        <v>111.9</v>
      </c>
      <c r="F106" s="274">
        <v>105</v>
      </c>
      <c r="G106" s="274">
        <v>92.2</v>
      </c>
      <c r="H106" s="274">
        <v>85</v>
      </c>
      <c r="I106" s="274">
        <v>66.599999999999994</v>
      </c>
      <c r="J106" s="274">
        <v>64</v>
      </c>
      <c r="K106" s="274">
        <v>54.4</v>
      </c>
      <c r="L106" s="274">
        <v>71.099999999999994</v>
      </c>
      <c r="M106" s="274">
        <v>69</v>
      </c>
      <c r="N106" s="274">
        <v>71.2</v>
      </c>
      <c r="O106" s="274">
        <v>72.3</v>
      </c>
      <c r="P106" s="274">
        <v>68.5</v>
      </c>
      <c r="Q106" s="274">
        <v>72.7</v>
      </c>
      <c r="R106" s="274">
        <v>67</v>
      </c>
      <c r="S106" s="274">
        <v>67</v>
      </c>
      <c r="T106" s="274">
        <v>67</v>
      </c>
      <c r="U106" s="274">
        <v>67</v>
      </c>
      <c r="V106" s="274">
        <v>36</v>
      </c>
      <c r="W106" s="274">
        <v>36</v>
      </c>
      <c r="X106" s="274">
        <v>46</v>
      </c>
      <c r="Y106" s="274">
        <v>58</v>
      </c>
      <c r="Z106" s="274">
        <v>53</v>
      </c>
      <c r="AA106" s="274">
        <v>53</v>
      </c>
      <c r="AB106" s="274">
        <v>77.400000000000006</v>
      </c>
      <c r="AC106" s="274">
        <v>87.3</v>
      </c>
      <c r="AD106" s="274">
        <v>90.4</v>
      </c>
      <c r="AE106" s="274">
        <v>98.4</v>
      </c>
      <c r="AF106" s="274">
        <v>101.6</v>
      </c>
      <c r="AG106" s="289"/>
      <c r="AH106" s="226">
        <f t="shared" si="41"/>
        <v>111.9</v>
      </c>
      <c r="AI106" s="284">
        <f t="shared" si="42"/>
        <v>0.125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43">SUM(C108:C212)</f>
        <v>0</v>
      </c>
      <c r="D213" s="307">
        <f t="shared" si="43"/>
        <v>0</v>
      </c>
      <c r="E213" s="307">
        <f t="shared" si="43"/>
        <v>0</v>
      </c>
      <c r="F213" s="307">
        <f t="shared" si="43"/>
        <v>0</v>
      </c>
      <c r="G213" s="307">
        <f t="shared" si="43"/>
        <v>0</v>
      </c>
      <c r="H213" s="307">
        <f t="shared" si="43"/>
        <v>0</v>
      </c>
      <c r="I213" s="307">
        <f t="shared" si="43"/>
        <v>0</v>
      </c>
      <c r="J213" s="307">
        <f t="shared" si="43"/>
        <v>0</v>
      </c>
      <c r="K213" s="307">
        <f t="shared" si="43"/>
        <v>0</v>
      </c>
      <c r="L213" s="307">
        <f t="shared" si="43"/>
        <v>0</v>
      </c>
      <c r="M213" s="307">
        <f t="shared" si="43"/>
        <v>0</v>
      </c>
      <c r="N213" s="307">
        <f t="shared" si="43"/>
        <v>0</v>
      </c>
      <c r="O213" s="307">
        <f t="shared" si="43"/>
        <v>0</v>
      </c>
      <c r="P213" s="307">
        <f t="shared" si="43"/>
        <v>0</v>
      </c>
      <c r="Q213" s="307">
        <f t="shared" si="43"/>
        <v>0</v>
      </c>
      <c r="R213" s="307">
        <f t="shared" si="43"/>
        <v>0</v>
      </c>
      <c r="S213" s="307">
        <f t="shared" si="43"/>
        <v>0</v>
      </c>
      <c r="T213" s="307">
        <f t="shared" si="43"/>
        <v>0</v>
      </c>
      <c r="U213" s="307">
        <f t="shared" si="43"/>
        <v>0</v>
      </c>
      <c r="V213" s="307">
        <f t="shared" si="43"/>
        <v>0</v>
      </c>
      <c r="W213" s="307">
        <f t="shared" si="43"/>
        <v>0</v>
      </c>
      <c r="X213" s="307">
        <f t="shared" si="43"/>
        <v>0</v>
      </c>
      <c r="Y213" s="307">
        <f t="shared" si="43"/>
        <v>0</v>
      </c>
      <c r="Z213" s="307">
        <f t="shared" si="43"/>
        <v>0</v>
      </c>
      <c r="AA213" s="307">
        <f t="shared" si="43"/>
        <v>0</v>
      </c>
      <c r="AB213" s="307">
        <f t="shared" si="43"/>
        <v>0</v>
      </c>
      <c r="AC213" s="307">
        <f t="shared" si="43"/>
        <v>0</v>
      </c>
      <c r="AD213" s="307">
        <f t="shared" si="43"/>
        <v>0</v>
      </c>
      <c r="AE213" s="307">
        <f t="shared" si="43"/>
        <v>0</v>
      </c>
      <c r="AF213" s="308">
        <f t="shared" si="43"/>
        <v>0</v>
      </c>
      <c r="AG213" s="309">
        <f t="shared" si="43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44">AF215</f>
        <v>0</v>
      </c>
      <c r="C215" s="312">
        <v>0.3</v>
      </c>
      <c r="D215" s="312">
        <f t="shared" ref="D215:P220" si="45">C215</f>
        <v>0.3</v>
      </c>
      <c r="E215" s="312">
        <f t="shared" si="45"/>
        <v>0.3</v>
      </c>
      <c r="F215" s="312">
        <f t="shared" si="45"/>
        <v>0.3</v>
      </c>
      <c r="G215" s="312">
        <f t="shared" si="45"/>
        <v>0.3</v>
      </c>
      <c r="H215" s="312">
        <f t="shared" si="45"/>
        <v>0.3</v>
      </c>
      <c r="I215" s="312">
        <f t="shared" si="45"/>
        <v>0.3</v>
      </c>
      <c r="J215" s="312">
        <f t="shared" si="45"/>
        <v>0.3</v>
      </c>
      <c r="K215" s="312">
        <f t="shared" si="45"/>
        <v>0.3</v>
      </c>
      <c r="L215" s="312">
        <f t="shared" si="45"/>
        <v>0.3</v>
      </c>
      <c r="M215" s="312">
        <f t="shared" si="45"/>
        <v>0.3</v>
      </c>
      <c r="N215" s="312">
        <f t="shared" si="45"/>
        <v>0.3</v>
      </c>
      <c r="O215" s="312">
        <f t="shared" si="45"/>
        <v>0.3</v>
      </c>
      <c r="P215" s="312">
        <f t="shared" si="45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44"/>
        <v>0</v>
      </c>
      <c r="C216" s="299">
        <v>0.4</v>
      </c>
      <c r="D216" s="299">
        <f t="shared" si="45"/>
        <v>0.4</v>
      </c>
      <c r="E216" s="299">
        <f t="shared" si="45"/>
        <v>0.4</v>
      </c>
      <c r="F216" s="299">
        <f t="shared" si="45"/>
        <v>0.4</v>
      </c>
      <c r="G216" s="299">
        <f t="shared" si="45"/>
        <v>0.4</v>
      </c>
      <c r="H216" s="299">
        <f t="shared" si="45"/>
        <v>0.4</v>
      </c>
      <c r="I216" s="299">
        <f t="shared" si="45"/>
        <v>0.4</v>
      </c>
      <c r="J216" s="299">
        <f t="shared" si="45"/>
        <v>0.4</v>
      </c>
      <c r="K216" s="299">
        <f t="shared" si="45"/>
        <v>0.4</v>
      </c>
      <c r="L216" s="299">
        <f t="shared" si="45"/>
        <v>0.4</v>
      </c>
      <c r="M216" s="299">
        <f t="shared" si="45"/>
        <v>0.4</v>
      </c>
      <c r="N216" s="299">
        <f t="shared" si="45"/>
        <v>0.4</v>
      </c>
      <c r="O216" s="299">
        <f t="shared" si="45"/>
        <v>0.4</v>
      </c>
      <c r="P216" s="299">
        <f t="shared" si="45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44"/>
        <v>0</v>
      </c>
      <c r="C217" s="299">
        <v>1.5</v>
      </c>
      <c r="D217" s="299">
        <f t="shared" si="45"/>
        <v>1.5</v>
      </c>
      <c r="E217" s="299">
        <f t="shared" si="45"/>
        <v>1.5</v>
      </c>
      <c r="F217" s="299">
        <f t="shared" si="45"/>
        <v>1.5</v>
      </c>
      <c r="G217" s="299">
        <f t="shared" si="45"/>
        <v>1.5</v>
      </c>
      <c r="H217" s="299">
        <f t="shared" si="45"/>
        <v>1.5</v>
      </c>
      <c r="I217" s="299">
        <f t="shared" si="45"/>
        <v>1.5</v>
      </c>
      <c r="J217" s="299">
        <f t="shared" si="45"/>
        <v>1.5</v>
      </c>
      <c r="K217" s="299">
        <f t="shared" si="45"/>
        <v>1.5</v>
      </c>
      <c r="L217" s="299">
        <f t="shared" si="45"/>
        <v>1.5</v>
      </c>
      <c r="M217" s="299">
        <f t="shared" si="45"/>
        <v>1.5</v>
      </c>
      <c r="N217" s="299">
        <f t="shared" si="45"/>
        <v>1.5</v>
      </c>
      <c r="O217" s="299">
        <f t="shared" si="45"/>
        <v>1.5</v>
      </c>
      <c r="P217" s="299">
        <f t="shared" si="45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44"/>
        <v>0</v>
      </c>
      <c r="C218" s="299">
        <v>0.3</v>
      </c>
      <c r="D218" s="299">
        <f t="shared" si="45"/>
        <v>0.3</v>
      </c>
      <c r="E218" s="299">
        <f t="shared" si="45"/>
        <v>0.3</v>
      </c>
      <c r="F218" s="299">
        <f t="shared" si="45"/>
        <v>0.3</v>
      </c>
      <c r="G218" s="299">
        <f t="shared" si="45"/>
        <v>0.3</v>
      </c>
      <c r="H218" s="299">
        <f t="shared" si="45"/>
        <v>0.3</v>
      </c>
      <c r="I218" s="299">
        <f t="shared" si="45"/>
        <v>0.3</v>
      </c>
      <c r="J218" s="299">
        <f t="shared" si="45"/>
        <v>0.3</v>
      </c>
      <c r="K218" s="299">
        <f t="shared" si="45"/>
        <v>0.3</v>
      </c>
      <c r="L218" s="299">
        <f t="shared" si="45"/>
        <v>0.3</v>
      </c>
      <c r="M218" s="299">
        <f t="shared" si="45"/>
        <v>0.3</v>
      </c>
      <c r="N218" s="299">
        <f t="shared" si="45"/>
        <v>0.3</v>
      </c>
      <c r="O218" s="299">
        <f t="shared" si="45"/>
        <v>0.3</v>
      </c>
      <c r="P218" s="299">
        <f t="shared" si="45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44"/>
        <v>0</v>
      </c>
      <c r="C219" s="299">
        <v>0.4</v>
      </c>
      <c r="D219" s="299">
        <f t="shared" si="45"/>
        <v>0.4</v>
      </c>
      <c r="E219" s="299">
        <f t="shared" si="45"/>
        <v>0.4</v>
      </c>
      <c r="F219" s="299">
        <f t="shared" si="45"/>
        <v>0.4</v>
      </c>
      <c r="G219" s="299">
        <f t="shared" si="45"/>
        <v>0.4</v>
      </c>
      <c r="H219" s="299">
        <f t="shared" si="45"/>
        <v>0.4</v>
      </c>
      <c r="I219" s="299">
        <f t="shared" si="45"/>
        <v>0.4</v>
      </c>
      <c r="J219" s="299">
        <f t="shared" si="45"/>
        <v>0.4</v>
      </c>
      <c r="K219" s="299">
        <f t="shared" si="45"/>
        <v>0.4</v>
      </c>
      <c r="L219" s="299">
        <f t="shared" si="45"/>
        <v>0.4</v>
      </c>
      <c r="M219" s="299">
        <f t="shared" si="45"/>
        <v>0.4</v>
      </c>
      <c r="N219" s="299">
        <f t="shared" si="45"/>
        <v>0.4</v>
      </c>
      <c r="O219" s="299">
        <f t="shared" si="45"/>
        <v>0.4</v>
      </c>
      <c r="P219" s="299">
        <f t="shared" si="45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44"/>
        <v>0</v>
      </c>
      <c r="C220" s="303">
        <v>0.64</v>
      </c>
      <c r="D220" s="303">
        <f t="shared" si="45"/>
        <v>0.64</v>
      </c>
      <c r="E220" s="303">
        <f t="shared" si="45"/>
        <v>0.64</v>
      </c>
      <c r="F220" s="303">
        <f t="shared" si="45"/>
        <v>0.64</v>
      </c>
      <c r="G220" s="303">
        <f t="shared" si="45"/>
        <v>0.64</v>
      </c>
      <c r="H220" s="303">
        <f t="shared" si="45"/>
        <v>0.64</v>
      </c>
      <c r="I220" s="303">
        <f t="shared" si="45"/>
        <v>0.64</v>
      </c>
      <c r="J220" s="303">
        <f t="shared" si="45"/>
        <v>0.64</v>
      </c>
      <c r="K220" s="303">
        <f t="shared" si="45"/>
        <v>0.64</v>
      </c>
      <c r="L220" s="303">
        <f t="shared" si="45"/>
        <v>0.64</v>
      </c>
      <c r="M220" s="303">
        <f t="shared" si="45"/>
        <v>0.64</v>
      </c>
      <c r="N220" s="303">
        <f t="shared" si="45"/>
        <v>0.64</v>
      </c>
      <c r="O220" s="303">
        <f t="shared" si="45"/>
        <v>0.64</v>
      </c>
      <c r="P220" s="303">
        <f t="shared" si="45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46">SUM(D215:D220)</f>
        <v>3.54</v>
      </c>
      <c r="E221" s="307">
        <f t="shared" si="46"/>
        <v>3.54</v>
      </c>
      <c r="F221" s="307">
        <f t="shared" si="46"/>
        <v>3.54</v>
      </c>
      <c r="G221" s="307">
        <f t="shared" si="46"/>
        <v>3.54</v>
      </c>
      <c r="H221" s="307">
        <f t="shared" si="46"/>
        <v>3.54</v>
      </c>
      <c r="I221" s="307">
        <f t="shared" si="46"/>
        <v>3.54</v>
      </c>
      <c r="J221" s="307">
        <f t="shared" si="46"/>
        <v>3.54</v>
      </c>
      <c r="K221" s="307">
        <f t="shared" si="46"/>
        <v>3.54</v>
      </c>
      <c r="L221" s="307">
        <f t="shared" si="46"/>
        <v>3.54</v>
      </c>
      <c r="M221" s="307">
        <f>SUM(M215:M220)</f>
        <v>3.54</v>
      </c>
      <c r="N221" s="307">
        <f t="shared" ref="N221:S221" si="47">SUM(N215:N220)</f>
        <v>3.54</v>
      </c>
      <c r="O221" s="307">
        <f t="shared" si="47"/>
        <v>3.54</v>
      </c>
      <c r="P221" s="307">
        <f t="shared" si="47"/>
        <v>3.54</v>
      </c>
      <c r="Q221" s="307">
        <f t="shared" si="47"/>
        <v>0</v>
      </c>
      <c r="R221" s="307">
        <f t="shared" si="47"/>
        <v>0</v>
      </c>
      <c r="S221" s="307">
        <f t="shared" si="47"/>
        <v>0</v>
      </c>
      <c r="T221" s="307">
        <f>SUM(T215:T220)</f>
        <v>0</v>
      </c>
      <c r="U221" s="307">
        <f t="shared" ref="U221:AG221" si="48">SUM(U215:U220)</f>
        <v>0</v>
      </c>
      <c r="V221" s="307">
        <f t="shared" si="48"/>
        <v>0</v>
      </c>
      <c r="W221" s="307">
        <f t="shared" si="48"/>
        <v>0</v>
      </c>
      <c r="X221" s="307">
        <f t="shared" si="48"/>
        <v>0</v>
      </c>
      <c r="Y221" s="307">
        <f t="shared" si="48"/>
        <v>0</v>
      </c>
      <c r="Z221" s="307">
        <f t="shared" si="48"/>
        <v>0</v>
      </c>
      <c r="AA221" s="307">
        <f t="shared" si="48"/>
        <v>0</v>
      </c>
      <c r="AB221" s="307">
        <f t="shared" si="48"/>
        <v>0</v>
      </c>
      <c r="AC221" s="307">
        <f t="shared" si="48"/>
        <v>0</v>
      </c>
      <c r="AD221" s="307">
        <f t="shared" si="48"/>
        <v>0</v>
      </c>
      <c r="AE221" s="307">
        <f t="shared" si="48"/>
        <v>0</v>
      </c>
      <c r="AF221" s="307">
        <f t="shared" si="48"/>
        <v>0</v>
      </c>
      <c r="AG221" s="317">
        <f t="shared" si="48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1801.54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23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2079/02/23)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2079/02/23)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49">B79</f>
        <v>1744.14</v>
      </c>
      <c r="U235" s="343">
        <f t="shared" si="49"/>
        <v>1739.44</v>
      </c>
      <c r="V235" s="343">
        <f t="shared" si="49"/>
        <v>1729.1399999999999</v>
      </c>
      <c r="W235" s="343">
        <f t="shared" si="49"/>
        <v>1724.1399999999999</v>
      </c>
      <c r="X235" s="343">
        <f t="shared" si="49"/>
        <v>1722.64</v>
      </c>
      <c r="Y235" s="343">
        <f t="shared" si="49"/>
        <v>1722.64</v>
      </c>
      <c r="Z235" s="343">
        <f t="shared" si="49"/>
        <v>1722.64</v>
      </c>
      <c r="AA235" s="343">
        <f t="shared" si="49"/>
        <v>1733.64</v>
      </c>
      <c r="AB235" s="343">
        <f t="shared" si="49"/>
        <v>1756.24</v>
      </c>
      <c r="AC235" s="343">
        <f t="shared" si="49"/>
        <v>1756.24</v>
      </c>
      <c r="AD235" s="343">
        <f t="shared" si="49"/>
        <v>1759.24</v>
      </c>
      <c r="AE235" s="343">
        <f t="shared" si="49"/>
        <v>1797.44</v>
      </c>
      <c r="AF235" s="343">
        <f t="shared" si="49"/>
        <v>1801.54</v>
      </c>
      <c r="AG235" s="343">
        <f t="shared" si="49"/>
        <v>1814.5400000000002</v>
      </c>
      <c r="AH235" s="343">
        <f t="shared" si="49"/>
        <v>1773.74</v>
      </c>
      <c r="AI235" s="343">
        <f t="shared" si="49"/>
        <v>1770.34</v>
      </c>
      <c r="AJ235" s="343">
        <f t="shared" si="49"/>
        <v>1715.04</v>
      </c>
      <c r="AK235" s="343">
        <f t="shared" si="49"/>
        <v>1712.34</v>
      </c>
      <c r="AL235" s="343">
        <f t="shared" si="49"/>
        <v>1788.34</v>
      </c>
      <c r="AM235" s="343">
        <f t="shared" si="49"/>
        <v>1788.34</v>
      </c>
      <c r="AN235" s="343">
        <f t="shared" si="49"/>
        <v>1781.34</v>
      </c>
      <c r="AO235" s="343">
        <f t="shared" si="49"/>
        <v>1784.34</v>
      </c>
      <c r="AP235" s="343">
        <f t="shared" si="49"/>
        <v>1779.34</v>
      </c>
      <c r="AQ235" s="343">
        <f t="shared" si="49"/>
        <v>1836.1399999999999</v>
      </c>
      <c r="AR235" s="343">
        <f t="shared" si="49"/>
        <v>1910.1399999999999</v>
      </c>
      <c r="AS235" s="343">
        <f t="shared" si="49"/>
        <v>1901.2399999999998</v>
      </c>
      <c r="AT235" s="343">
        <f t="shared" si="49"/>
        <v>1875.14</v>
      </c>
      <c r="AU235" s="343">
        <f t="shared" si="49"/>
        <v>1891.8400000000001</v>
      </c>
      <c r="AV235" s="343">
        <f t="shared" si="49"/>
        <v>1888.8400000000001</v>
      </c>
      <c r="AW235" s="343">
        <f t="shared" si="49"/>
        <v>1855.04</v>
      </c>
      <c r="AX235" s="343">
        <f t="shared" si="49"/>
        <v>1761.24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50">C220</f>
        <v>0.64</v>
      </c>
      <c r="C256" s="346">
        <f t="shared" si="50"/>
        <v>0.64</v>
      </c>
      <c r="D256" s="346">
        <f t="shared" si="50"/>
        <v>0.64</v>
      </c>
      <c r="E256" s="346">
        <f t="shared" si="50"/>
        <v>0.64</v>
      </c>
      <c r="F256" s="346">
        <f t="shared" si="50"/>
        <v>0.64</v>
      </c>
      <c r="G256" s="346">
        <f t="shared" si="50"/>
        <v>0.64</v>
      </c>
      <c r="H256" s="346">
        <f t="shared" si="50"/>
        <v>0.64</v>
      </c>
      <c r="I256" s="346">
        <f t="shared" si="50"/>
        <v>0.64</v>
      </c>
      <c r="J256" s="346">
        <f t="shared" si="50"/>
        <v>0.64</v>
      </c>
      <c r="K256" s="346">
        <f t="shared" si="50"/>
        <v>0.64</v>
      </c>
      <c r="L256" s="346">
        <f t="shared" si="50"/>
        <v>0.64</v>
      </c>
      <c r="M256" s="346">
        <f t="shared" si="50"/>
        <v>0.64</v>
      </c>
      <c r="N256" s="346">
        <f t="shared" si="50"/>
        <v>0.64</v>
      </c>
      <c r="O256" s="346">
        <f t="shared" si="50"/>
        <v>0.64</v>
      </c>
      <c r="P256" s="346">
        <f t="shared" si="50"/>
        <v>0</v>
      </c>
      <c r="Q256" s="346">
        <f t="shared" si="50"/>
        <v>0</v>
      </c>
      <c r="R256" s="346">
        <f t="shared" si="50"/>
        <v>0</v>
      </c>
      <c r="S256" s="346">
        <f t="shared" si="50"/>
        <v>0</v>
      </c>
      <c r="T256" s="346">
        <f t="shared" si="50"/>
        <v>0</v>
      </c>
      <c r="U256" s="346">
        <f t="shared" si="50"/>
        <v>0</v>
      </c>
      <c r="V256" s="346">
        <f t="shared" si="50"/>
        <v>0</v>
      </c>
      <c r="W256" s="346">
        <f t="shared" si="50"/>
        <v>0</v>
      </c>
      <c r="X256" s="346">
        <f t="shared" si="50"/>
        <v>0</v>
      </c>
      <c r="Y256" s="346">
        <f t="shared" si="50"/>
        <v>0</v>
      </c>
      <c r="Z256" s="346">
        <f t="shared" si="50"/>
        <v>0</v>
      </c>
      <c r="AA256" s="346">
        <f t="shared" si="50"/>
        <v>0</v>
      </c>
      <c r="AB256" s="346">
        <f t="shared" si="50"/>
        <v>0</v>
      </c>
      <c r="AC256" s="346">
        <f t="shared" si="50"/>
        <v>0</v>
      </c>
      <c r="AD256" s="346">
        <f t="shared" si="50"/>
        <v>0</v>
      </c>
      <c r="AE256" s="346">
        <f t="shared" si="50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51">IF(C224&lt;100,"",C224-520)</f>
        <v/>
      </c>
      <c r="D257" s="347" t="str">
        <f t="shared" si="51"/>
        <v/>
      </c>
      <c r="E257" s="347" t="str">
        <f t="shared" si="51"/>
        <v/>
      </c>
      <c r="F257" s="347" t="str">
        <f t="shared" si="51"/>
        <v/>
      </c>
      <c r="G257" s="347" t="str">
        <f t="shared" si="51"/>
        <v/>
      </c>
      <c r="H257" s="347" t="str">
        <f t="shared" si="51"/>
        <v/>
      </c>
      <c r="I257" s="347" t="str">
        <f t="shared" si="51"/>
        <v/>
      </c>
      <c r="J257" s="347" t="str">
        <f t="shared" si="51"/>
        <v/>
      </c>
      <c r="K257" s="347" t="str">
        <f t="shared" si="51"/>
        <v/>
      </c>
      <c r="L257" s="347" t="str">
        <f t="shared" si="51"/>
        <v/>
      </c>
      <c r="M257" s="347" t="str">
        <f t="shared" si="51"/>
        <v/>
      </c>
      <c r="N257" s="347" t="str">
        <f t="shared" si="51"/>
        <v/>
      </c>
      <c r="O257" s="347" t="str">
        <f t="shared" si="51"/>
        <v/>
      </c>
      <c r="P257" s="347" t="str">
        <f t="shared" si="51"/>
        <v/>
      </c>
      <c r="Q257" s="347" t="str">
        <f t="shared" si="51"/>
        <v/>
      </c>
      <c r="R257" s="347" t="str">
        <f t="shared" si="51"/>
        <v/>
      </c>
      <c r="S257" s="347" t="str">
        <f t="shared" si="51"/>
        <v/>
      </c>
      <c r="T257" s="347" t="str">
        <f t="shared" si="51"/>
        <v/>
      </c>
      <c r="U257" s="347" t="str">
        <f t="shared" si="51"/>
        <v/>
      </c>
      <c r="V257" s="347" t="str">
        <f t="shared" si="51"/>
        <v/>
      </c>
      <c r="W257" s="347" t="str">
        <f t="shared" si="51"/>
        <v/>
      </c>
      <c r="X257" s="347" t="str">
        <f t="shared" si="51"/>
        <v/>
      </c>
      <c r="Y257" s="347" t="str">
        <f t="shared" si="51"/>
        <v/>
      </c>
      <c r="Z257" s="347" t="str">
        <f t="shared" si="51"/>
        <v/>
      </c>
      <c r="AA257" s="347" t="str">
        <f t="shared" si="51"/>
        <v/>
      </c>
      <c r="AB257" s="347" t="str">
        <f t="shared" si="51"/>
        <v/>
      </c>
      <c r="AC257" s="347" t="str">
        <f t="shared" si="51"/>
        <v/>
      </c>
      <c r="AD257" s="347" t="str">
        <f t="shared" si="51"/>
        <v/>
      </c>
      <c r="AE257" s="347" t="str">
        <f t="shared" si="51"/>
        <v/>
      </c>
      <c r="AF257" s="347" t="str">
        <f t="shared" si="51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52">IF(B225&lt;100,"",B225-620)</f>
        <v/>
      </c>
      <c r="C258" s="347" t="str">
        <f t="shared" si="52"/>
        <v/>
      </c>
      <c r="D258" s="347" t="str">
        <f t="shared" si="52"/>
        <v/>
      </c>
      <c r="E258" s="347" t="str">
        <f t="shared" si="52"/>
        <v/>
      </c>
      <c r="F258" s="347" t="str">
        <f t="shared" si="52"/>
        <v/>
      </c>
      <c r="G258" s="347" t="str">
        <f t="shared" si="52"/>
        <v/>
      </c>
      <c r="H258" s="347" t="str">
        <f t="shared" si="52"/>
        <v/>
      </c>
      <c r="I258" s="347" t="str">
        <f t="shared" si="52"/>
        <v/>
      </c>
      <c r="J258" s="347" t="str">
        <f t="shared" si="52"/>
        <v/>
      </c>
      <c r="K258" s="347" t="str">
        <f t="shared" si="52"/>
        <v/>
      </c>
      <c r="L258" s="347" t="str">
        <f t="shared" si="52"/>
        <v/>
      </c>
      <c r="M258" s="347" t="str">
        <f t="shared" si="52"/>
        <v/>
      </c>
      <c r="N258" s="347" t="str">
        <f t="shared" si="52"/>
        <v/>
      </c>
      <c r="O258" s="347" t="str">
        <f t="shared" si="52"/>
        <v/>
      </c>
      <c r="P258" s="347" t="str">
        <f t="shared" si="52"/>
        <v/>
      </c>
      <c r="Q258" s="347" t="str">
        <f t="shared" si="52"/>
        <v/>
      </c>
      <c r="R258" s="347" t="str">
        <f t="shared" si="52"/>
        <v/>
      </c>
      <c r="S258" s="347" t="str">
        <f t="shared" si="52"/>
        <v/>
      </c>
      <c r="T258" s="347" t="str">
        <f t="shared" si="52"/>
        <v/>
      </c>
      <c r="U258" s="347" t="str">
        <f t="shared" si="52"/>
        <v/>
      </c>
      <c r="V258" s="347" t="str">
        <f t="shared" si="52"/>
        <v/>
      </c>
      <c r="W258" s="347" t="str">
        <f t="shared" si="52"/>
        <v/>
      </c>
      <c r="X258" s="347" t="str">
        <f t="shared" si="52"/>
        <v/>
      </c>
      <c r="Y258" s="347" t="str">
        <f t="shared" si="52"/>
        <v/>
      </c>
      <c r="Z258" s="347" t="str">
        <f t="shared" si="52"/>
        <v/>
      </c>
      <c r="AA258" s="347" t="str">
        <f t="shared" si="52"/>
        <v/>
      </c>
      <c r="AB258" s="347" t="str">
        <f t="shared" si="52"/>
        <v/>
      </c>
      <c r="AC258" s="347" t="str">
        <f t="shared" si="52"/>
        <v/>
      </c>
      <c r="AD258" s="347" t="str">
        <f t="shared" si="52"/>
        <v/>
      </c>
      <c r="AE258" s="347" t="str">
        <f t="shared" si="52"/>
        <v/>
      </c>
      <c r="AF258" s="347" t="str">
        <f t="shared" si="52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53">IF(B226&lt;100,"",B226-330)</f>
        <v/>
      </c>
      <c r="C259" s="347" t="str">
        <f t="shared" si="53"/>
        <v/>
      </c>
      <c r="D259" s="347" t="str">
        <f t="shared" si="53"/>
        <v/>
      </c>
      <c r="E259" s="347" t="str">
        <f t="shared" si="53"/>
        <v/>
      </c>
      <c r="F259" s="347" t="str">
        <f t="shared" si="53"/>
        <v/>
      </c>
      <c r="G259" s="347" t="str">
        <f t="shared" si="53"/>
        <v/>
      </c>
      <c r="H259" s="347" t="str">
        <f t="shared" si="53"/>
        <v/>
      </c>
      <c r="I259" s="347" t="str">
        <f t="shared" si="53"/>
        <v/>
      </c>
      <c r="J259" s="347" t="str">
        <f t="shared" si="53"/>
        <v/>
      </c>
      <c r="K259" s="347" t="str">
        <f t="shared" si="53"/>
        <v/>
      </c>
      <c r="L259" s="347" t="str">
        <f t="shared" si="53"/>
        <v/>
      </c>
      <c r="M259" s="347" t="str">
        <f t="shared" si="53"/>
        <v/>
      </c>
      <c r="N259" s="347" t="str">
        <f t="shared" si="53"/>
        <v/>
      </c>
      <c r="O259" s="347" t="str">
        <f t="shared" si="53"/>
        <v/>
      </c>
      <c r="P259" s="347" t="str">
        <f t="shared" si="53"/>
        <v/>
      </c>
      <c r="Q259" s="347" t="str">
        <f t="shared" si="53"/>
        <v/>
      </c>
      <c r="R259" s="347" t="str">
        <f t="shared" si="53"/>
        <v/>
      </c>
      <c r="S259" s="347" t="str">
        <f t="shared" si="53"/>
        <v/>
      </c>
      <c r="T259" s="347" t="str">
        <f t="shared" si="53"/>
        <v/>
      </c>
      <c r="U259" s="347" t="str">
        <f t="shared" si="53"/>
        <v/>
      </c>
      <c r="V259" s="347" t="str">
        <f t="shared" si="53"/>
        <v/>
      </c>
      <c r="W259" s="347" t="str">
        <f t="shared" si="53"/>
        <v/>
      </c>
      <c r="X259" s="347" t="str">
        <f t="shared" si="53"/>
        <v/>
      </c>
      <c r="Y259" s="347" t="str">
        <f t="shared" si="53"/>
        <v/>
      </c>
      <c r="Z259" s="347" t="str">
        <f t="shared" si="53"/>
        <v/>
      </c>
      <c r="AA259" s="347" t="str">
        <f t="shared" si="53"/>
        <v/>
      </c>
      <c r="AB259" s="347" t="str">
        <f t="shared" si="53"/>
        <v/>
      </c>
      <c r="AC259" s="347" t="str">
        <f t="shared" si="53"/>
        <v/>
      </c>
      <c r="AD259" s="347" t="str">
        <f t="shared" si="53"/>
        <v/>
      </c>
      <c r="AE259" s="347" t="str">
        <f t="shared" si="53"/>
        <v/>
      </c>
      <c r="AF259" s="347" t="str">
        <f t="shared" si="53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54">IF(C227&lt;100,"",C227-1500)</f>
        <v/>
      </c>
      <c r="D260" s="347" t="str">
        <f t="shared" si="54"/>
        <v/>
      </c>
      <c r="E260" s="347" t="str">
        <f t="shared" si="54"/>
        <v/>
      </c>
      <c r="F260" s="347" t="str">
        <f t="shared" si="54"/>
        <v/>
      </c>
      <c r="G260" s="347" t="str">
        <f t="shared" si="54"/>
        <v/>
      </c>
      <c r="H260" s="347" t="str">
        <f t="shared" si="54"/>
        <v/>
      </c>
      <c r="I260" s="347" t="str">
        <f t="shared" si="54"/>
        <v/>
      </c>
      <c r="J260" s="347" t="str">
        <f t="shared" si="54"/>
        <v/>
      </c>
      <c r="K260" s="347" t="str">
        <f t="shared" si="54"/>
        <v/>
      </c>
      <c r="L260" s="347" t="str">
        <f t="shared" si="54"/>
        <v/>
      </c>
      <c r="M260" s="347" t="str">
        <f t="shared" si="54"/>
        <v/>
      </c>
      <c r="N260" s="347" t="str">
        <f t="shared" si="54"/>
        <v/>
      </c>
      <c r="O260" s="347" t="str">
        <f t="shared" si="54"/>
        <v/>
      </c>
      <c r="P260" s="347" t="str">
        <f t="shared" si="54"/>
        <v/>
      </c>
      <c r="Q260" s="347" t="str">
        <f t="shared" si="54"/>
        <v/>
      </c>
      <c r="R260" s="347" t="str">
        <f t="shared" si="54"/>
        <v/>
      </c>
      <c r="S260" s="347" t="str">
        <f t="shared" si="54"/>
        <v/>
      </c>
      <c r="T260" s="347" t="str">
        <f t="shared" si="54"/>
        <v/>
      </c>
      <c r="U260" s="347" t="str">
        <f t="shared" si="54"/>
        <v/>
      </c>
      <c r="V260" s="347" t="str">
        <f t="shared" si="54"/>
        <v/>
      </c>
      <c r="W260" s="347" t="str">
        <f t="shared" si="54"/>
        <v/>
      </c>
      <c r="X260" s="347" t="str">
        <f t="shared" si="54"/>
        <v/>
      </c>
      <c r="Y260" s="347" t="str">
        <f t="shared" si="54"/>
        <v/>
      </c>
      <c r="Z260" s="347" t="str">
        <f t="shared" si="54"/>
        <v/>
      </c>
      <c r="AA260" s="347" t="str">
        <f t="shared" si="54"/>
        <v/>
      </c>
      <c r="AB260" s="347" t="str">
        <f t="shared" si="54"/>
        <v/>
      </c>
      <c r="AC260" s="347" t="str">
        <f t="shared" si="54"/>
        <v/>
      </c>
      <c r="AD260" s="347" t="str">
        <f t="shared" si="54"/>
        <v/>
      </c>
      <c r="AE260" s="347" t="str">
        <f t="shared" si="54"/>
        <v/>
      </c>
      <c r="AF260" s="347" t="str">
        <f t="shared" si="54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4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AC11:AF11">
    <cfRule type="expression" dxfId="3096" priority="370">
      <formula>B$9&gt;=20/24</formula>
    </cfRule>
    <cfRule type="expression" dxfId="3095" priority="371">
      <formula>AND(B$9&gt;=14/24,B$9&lt;20/24)</formula>
    </cfRule>
    <cfRule type="expression" dxfId="3094" priority="372">
      <formula>AND(B$9&gt;=8/24,B$9&lt;14/24)</formula>
    </cfRule>
    <cfRule type="expression" dxfId="3093" priority="373">
      <formula>B$9&lt;8/24</formula>
    </cfRule>
  </conditionalFormatting>
  <conditionalFormatting sqref="AL4:AL6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AC37:AF37">
    <cfRule type="expression" dxfId="3092" priority="365">
      <formula>AC$9&gt;=20/24</formula>
    </cfRule>
    <cfRule type="expression" dxfId="3091" priority="366">
      <formula>AND(AC$9&gt;=14/24,AC$9&lt;20/24)</formula>
    </cfRule>
    <cfRule type="expression" dxfId="3090" priority="367">
      <formula>AND(AC$9&gt;=8/24,AC$9&lt;14/24)</formula>
    </cfRule>
    <cfRule type="expression" dxfId="3089" priority="368">
      <formula>AC$9&lt;8/24</formula>
    </cfRule>
  </conditionalFormatting>
  <conditionalFormatting sqref="AG55 M11:AB11 M16:AB16 AC37:AF37 AC11:AF16">
    <cfRule type="expression" dxfId="3088" priority="364">
      <formula>M11&gt;$AG11</formula>
    </cfRule>
  </conditionalFormatting>
  <conditionalFormatting sqref="A89:A102 A11:A14 A49:A76 A85:A87 A191:A221 A16:A30 A36:A47 A107:A178 A32:A33 A81:A83 A78:A79">
    <cfRule type="expression" dxfId="3087" priority="363">
      <formula>$AH11=0</formula>
    </cfRule>
  </conditionalFormatting>
  <conditionalFormatting sqref="A103">
    <cfRule type="expression" dxfId="3086" priority="362">
      <formula>$AH103=0</formula>
    </cfRule>
  </conditionalFormatting>
  <conditionalFormatting sqref="AL3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3085" priority="360">
      <formula>$AH35=0</formula>
    </cfRule>
  </conditionalFormatting>
  <conditionalFormatting sqref="A88">
    <cfRule type="expression" dxfId="3084" priority="359">
      <formula>$AH88=0</formula>
    </cfRule>
  </conditionalFormatting>
  <conditionalFormatting sqref="A15">
    <cfRule type="expression" dxfId="3083" priority="358">
      <formula>$AH15=0</formula>
    </cfRule>
  </conditionalFormatting>
  <conditionalFormatting sqref="A185:A190">
    <cfRule type="expression" dxfId="3082" priority="357">
      <formula>$AH185=0</formula>
    </cfRule>
  </conditionalFormatting>
  <conditionalFormatting sqref="A179:A184">
    <cfRule type="expression" dxfId="3081" priority="356">
      <formula>$AH179=0</formula>
    </cfRule>
  </conditionalFormatting>
  <conditionalFormatting sqref="A48">
    <cfRule type="expression" dxfId="3080" priority="355">
      <formula>$AH48=0</formula>
    </cfRule>
  </conditionalFormatting>
  <conditionalFormatting sqref="A84">
    <cfRule type="expression" dxfId="3079" priority="354">
      <formula>$AH84=0</formula>
    </cfRule>
  </conditionalFormatting>
  <conditionalFormatting sqref="C89:AF89">
    <cfRule type="expression" dxfId="3078" priority="350">
      <formula>C$9&gt;=20/24</formula>
    </cfRule>
    <cfRule type="expression" dxfId="3077" priority="351">
      <formula>AND(C$9&gt;=14/24,C$9&lt;20/24)</formula>
    </cfRule>
    <cfRule type="expression" dxfId="3076" priority="352">
      <formula>AND(C$9&gt;=8/24,C$9&lt;14/24)</formula>
    </cfRule>
    <cfRule type="expression" dxfId="3075" priority="353">
      <formula>C$9&lt;8/24</formula>
    </cfRule>
  </conditionalFormatting>
  <conditionalFormatting sqref="AL34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74" priority="376">
      <formula>C$9&gt;=20/24</formula>
    </cfRule>
    <cfRule type="expression" dxfId="3073" priority="377">
      <formula>AND(C$9&gt;=14/24,C$9&lt;20/24)</formula>
    </cfRule>
    <cfRule type="expression" dxfId="3072" priority="378">
      <formula>AND(C$9&gt;=8/24,C$9&lt;14/24)</formula>
    </cfRule>
    <cfRule type="expression" dxfId="3071" priority="379">
      <formula>C$9&lt;8/24</formula>
    </cfRule>
  </conditionalFormatting>
  <conditionalFormatting sqref="A222">
    <cfRule type="expression" dxfId="3070" priority="380">
      <formula>$AH222=0</formula>
    </cfRule>
  </conditionalFormatting>
  <conditionalFormatting sqref="AG234">
    <cfRule type="expression" dxfId="3069" priority="381">
      <formula>B$9&gt;=20/24</formula>
    </cfRule>
    <cfRule type="expression" dxfId="3068" priority="382">
      <formula>AND(B$9&gt;=14/24,B$9&lt;20/24)</formula>
    </cfRule>
    <cfRule type="expression" dxfId="3067" priority="383">
      <formula>AND(B$9&gt;=8/24,B$9&lt;14/24)</formula>
    </cfRule>
    <cfRule type="expression" dxfId="3066" priority="384">
      <formula>B$9&lt;8/24</formula>
    </cfRule>
  </conditionalFormatting>
  <conditionalFormatting sqref="S8">
    <cfRule type="expression" dxfId="3065" priority="345">
      <formula>U$9&gt;=20/24</formula>
    </cfRule>
    <cfRule type="expression" dxfId="3064" priority="346">
      <formula>AND(U$9&gt;=14/24,U$9&lt;20/24)</formula>
    </cfRule>
    <cfRule type="expression" dxfId="3063" priority="347">
      <formula>AND(U$9&gt;=8/24,U$9&lt;14/24)</formula>
    </cfRule>
    <cfRule type="expression" dxfId="3062" priority="348">
      <formula>U$9&lt;8/24</formula>
    </cfRule>
  </conditionalFormatting>
  <conditionalFormatting sqref="AB8">
    <cfRule type="expression" dxfId="3061" priority="341">
      <formula>AD$9&gt;=20/24</formula>
    </cfRule>
    <cfRule type="expression" dxfId="3060" priority="342">
      <formula>AND(AD$9&gt;=14/24,AD$9&lt;20/24)</formula>
    </cfRule>
    <cfRule type="expression" dxfId="3059" priority="343">
      <formula>AND(AD$9&gt;=8/24,AD$9&lt;14/24)</formula>
    </cfRule>
    <cfRule type="expression" dxfId="3058" priority="344">
      <formula>AD$9&lt;8/24</formula>
    </cfRule>
  </conditionalFormatting>
  <conditionalFormatting sqref="AH234:AX234">
    <cfRule type="expression" dxfId="3057" priority="385">
      <formula>AG$9&gt;=20/24</formula>
    </cfRule>
    <cfRule type="expression" dxfId="3056" priority="386">
      <formula>AND(AG$9&gt;=14/24,AG$9&lt;20/24)</formula>
    </cfRule>
    <cfRule type="expression" dxfId="3055" priority="387">
      <formula>AND(AG$9&gt;=8/24,AG$9&lt;14/24)</formula>
    </cfRule>
    <cfRule type="expression" dxfId="3054" priority="388">
      <formula>AG$9&lt;8/24</formula>
    </cfRule>
  </conditionalFormatting>
  <conditionalFormatting sqref="T234">
    <cfRule type="expression" dxfId="3053" priority="389">
      <formula>AX$9&gt;=20/24</formula>
    </cfRule>
    <cfRule type="expression" dxfId="3052" priority="390">
      <formula>AND(AX$9&gt;=14/24,AX$9&lt;20/24)</formula>
    </cfRule>
    <cfRule type="expression" dxfId="3051" priority="391">
      <formula>AND(AX$9&gt;=8/24,AX$9&lt;14/24)</formula>
    </cfRule>
    <cfRule type="expression" dxfId="3050" priority="392">
      <formula>AX$9&lt;8/24</formula>
    </cfRule>
  </conditionalFormatting>
  <conditionalFormatting sqref="A104:A105">
    <cfRule type="expression" dxfId="3049" priority="340">
      <formula>$AH104=0</formula>
    </cfRule>
  </conditionalFormatting>
  <conditionalFormatting sqref="AB44:AF45 C61:AF61">
    <cfRule type="expression" dxfId="3048" priority="336">
      <formula>C$9&gt;=20/24</formula>
    </cfRule>
    <cfRule type="expression" dxfId="3047" priority="337">
      <formula>AND(C$9&gt;=14/24,C$9&lt;20/24)</formula>
    </cfRule>
    <cfRule type="expression" dxfId="3046" priority="338">
      <formula>AND(C$9&gt;=8/24,C$9&lt;14/24)</formula>
    </cfRule>
    <cfRule type="expression" dxfId="3045" priority="339">
      <formula>C$9&lt;8/24</formula>
    </cfRule>
  </conditionalFormatting>
  <conditionalFormatting sqref="AB43:AF43">
    <cfRule type="expression" dxfId="3044" priority="332">
      <formula>AB$9&gt;=20/24</formula>
    </cfRule>
    <cfRule type="expression" dxfId="3043" priority="333">
      <formula>AND(AB$9&gt;=14/24,AB$9&lt;20/24)</formula>
    </cfRule>
    <cfRule type="expression" dxfId="3042" priority="334">
      <formula>AND(AB$9&gt;=8/24,AB$9&lt;14/24)</formula>
    </cfRule>
    <cfRule type="expression" dxfId="3041" priority="335">
      <formula>AB$9&lt;8/24</formula>
    </cfRule>
  </conditionalFormatting>
  <conditionalFormatting sqref="AB43:AF45">
    <cfRule type="expression" dxfId="3040" priority="331">
      <formula>AB43&gt;$AG43</formula>
    </cfRule>
  </conditionalFormatting>
  <conditionalFormatting sqref="C76:AD76 U73:AD75 C62:X65 Y62:AB63 AB64:AB71 C71:AA71 Y64:AA65 C66:AA67 M37:AB37 M11:AB14 C86:AF86 AE73:AF76 C90:AF96 AC18:AF22 AC24:AF24 AC12:AF14 M16:AF16 C57:AF59 AC62:AF71">
    <cfRule type="expression" dxfId="3039" priority="327">
      <formula>C$9&gt;=20/24</formula>
    </cfRule>
    <cfRule type="expression" dxfId="3038" priority="328">
      <formula>AND(C$9&gt;=14/24,C$9&lt;20/24)</formula>
    </cfRule>
    <cfRule type="expression" dxfId="3037" priority="329">
      <formula>AND(C$9&gt;=8/24,C$9&lt;14/24)</formula>
    </cfRule>
    <cfRule type="expression" dxfId="3036" priority="330">
      <formula>C$9&lt;8/24</formula>
    </cfRule>
  </conditionalFormatting>
  <conditionalFormatting sqref="E37:AB37 M11:AB15 C55:AF55 AC18:AF22 AC24:AF24 AB46:AF47 C57:AF59">
    <cfRule type="expression" dxfId="3035" priority="322">
      <formula>C11&gt;$AG11</formula>
    </cfRule>
  </conditionalFormatting>
  <conditionalFormatting sqref="M15:AF15">
    <cfRule type="expression" dxfId="3034" priority="314">
      <formula>M$9&gt;=20/24</formula>
    </cfRule>
    <cfRule type="expression" dxfId="3033" priority="315">
      <formula>AND(M$9&gt;=14/24,M$9&lt;20/24)</formula>
    </cfRule>
    <cfRule type="expression" dxfId="3032" priority="316">
      <formula>AND(M$9&gt;=8/24,M$9&lt;14/24)</formula>
    </cfRule>
    <cfRule type="expression" dxfId="3031" priority="317">
      <formula>M$9&lt;8/24</formula>
    </cfRule>
  </conditionalFormatting>
  <conditionalFormatting sqref="AB48:AF54">
    <cfRule type="expression" dxfId="3030" priority="301">
      <formula>AB$9&gt;=20/24</formula>
    </cfRule>
    <cfRule type="expression" dxfId="3029" priority="302">
      <formula>AND(AB$9&gt;=14/24,AB$9&lt;20/24)</formula>
    </cfRule>
    <cfRule type="expression" dxfId="3028" priority="303">
      <formula>AND(AB$9&gt;=8/24,AB$9&lt;14/24)</formula>
    </cfRule>
    <cfRule type="expression" dxfId="3027" priority="304">
      <formula>AB$9&lt;8/24</formula>
    </cfRule>
  </conditionalFormatting>
  <conditionalFormatting sqref="AB48:AF54">
    <cfRule type="expression" dxfId="3026" priority="300">
      <formula>AB48&gt;$AG48</formula>
    </cfRule>
  </conditionalFormatting>
  <conditionalFormatting sqref="M43:AA54">
    <cfRule type="expression" dxfId="3025" priority="296">
      <formula>M$9&gt;=20/24</formula>
    </cfRule>
    <cfRule type="expression" dxfId="3024" priority="297">
      <formula>AND(M$9&gt;=14/24,M$9&lt;20/24)</formula>
    </cfRule>
    <cfRule type="expression" dxfId="3023" priority="298">
      <formula>AND(M$9&gt;=8/24,M$9&lt;14/24)</formula>
    </cfRule>
    <cfRule type="expression" dxfId="3022" priority="299">
      <formula>M$9&lt;8/24</formula>
    </cfRule>
  </conditionalFormatting>
  <conditionalFormatting sqref="M43:AA54">
    <cfRule type="expression" dxfId="3021" priority="295">
      <formula>M43&gt;$AG43</formula>
    </cfRule>
  </conditionalFormatting>
  <conditionalFormatting sqref="AC23:AF23 M17:AF17">
    <cfRule type="expression" dxfId="3020" priority="287">
      <formula>M$9&gt;=20/24</formula>
    </cfRule>
    <cfRule type="expression" dxfId="3019" priority="288">
      <formula>AND(M$9&gt;=14/24,M$9&lt;20/24)</formula>
    </cfRule>
    <cfRule type="expression" dxfId="3018" priority="289">
      <formula>AND(M$9&gt;=8/24,M$9&lt;14/24)</formula>
    </cfRule>
    <cfRule type="expression" dxfId="3017" priority="290">
      <formula>M$9&lt;8/24</formula>
    </cfRule>
  </conditionalFormatting>
  <conditionalFormatting sqref="AC23:AF23 M17:AF17">
    <cfRule type="expression" dxfId="3016" priority="282">
      <formula>M17&gt;$AG17</formula>
    </cfRule>
  </conditionalFormatting>
  <conditionalFormatting sqref="C44:L45">
    <cfRule type="expression" dxfId="3015" priority="265">
      <formula>C$9&gt;=20/24</formula>
    </cfRule>
    <cfRule type="expression" dxfId="3014" priority="266">
      <formula>AND(C$9&gt;=14/24,C$9&lt;20/24)</formula>
    </cfRule>
    <cfRule type="expression" dxfId="3013" priority="267">
      <formula>AND(C$9&gt;=8/24,C$9&lt;14/24)</formula>
    </cfRule>
    <cfRule type="expression" dxfId="3012" priority="268">
      <formula>C$9&lt;8/24</formula>
    </cfRule>
  </conditionalFormatting>
  <conditionalFormatting sqref="C43:L43">
    <cfRule type="expression" dxfId="3011" priority="261">
      <formula>C$9&gt;=20/24</formula>
    </cfRule>
    <cfRule type="expression" dxfId="3010" priority="262">
      <formula>AND(C$9&gt;=14/24,C$9&lt;20/24)</formula>
    </cfRule>
    <cfRule type="expression" dxfId="3009" priority="263">
      <formula>AND(C$9&gt;=8/24,C$9&lt;14/24)</formula>
    </cfRule>
    <cfRule type="expression" dxfId="3008" priority="264">
      <formula>C$9&lt;8/24</formula>
    </cfRule>
  </conditionalFormatting>
  <conditionalFormatting sqref="C43:L45">
    <cfRule type="expression" dxfId="3007" priority="260">
      <formula>C43&gt;$AG43</formula>
    </cfRule>
  </conditionalFormatting>
  <conditionalFormatting sqref="C68:AA70">
    <cfRule type="expression" dxfId="3006" priority="256">
      <formula>C$9&gt;=20/24</formula>
    </cfRule>
    <cfRule type="expression" dxfId="3005" priority="257">
      <formula>AND(C$9&gt;=14/24,C$9&lt;20/24)</formula>
    </cfRule>
    <cfRule type="expression" dxfId="3004" priority="258">
      <formula>AND(C$9&gt;=8/24,C$9&lt;14/24)</formula>
    </cfRule>
    <cfRule type="expression" dxfId="3003" priority="259">
      <formula>C$9&lt;8/24</formula>
    </cfRule>
  </conditionalFormatting>
  <conditionalFormatting sqref="C46:L47">
    <cfRule type="expression" dxfId="3002" priority="255">
      <formula>C46&gt;$AG46</formula>
    </cfRule>
  </conditionalFormatting>
  <conditionalFormatting sqref="C48:L54">
    <cfRule type="expression" dxfId="3001" priority="251">
      <formula>C$9&gt;=20/24</formula>
    </cfRule>
    <cfRule type="expression" dxfId="3000" priority="252">
      <formula>AND(C$9&gt;=14/24,C$9&lt;20/24)</formula>
    </cfRule>
    <cfRule type="expression" dxfId="2999" priority="253">
      <formula>AND(C$9&gt;=8/24,C$9&lt;14/24)</formula>
    </cfRule>
    <cfRule type="expression" dxfId="2998" priority="254">
      <formula>C$9&lt;8/24</formula>
    </cfRule>
  </conditionalFormatting>
  <conditionalFormatting sqref="C48:L54">
    <cfRule type="expression" dxfId="2997" priority="250">
      <formula>C48&gt;$AG48</formula>
    </cfRule>
  </conditionalFormatting>
  <conditionalFormatting sqref="B99:B105 B78:AF78 B87:AF87">
    <cfRule type="expression" dxfId="2996" priority="237">
      <formula>B$9&gt;=20/24</formula>
    </cfRule>
    <cfRule type="expression" dxfId="2995" priority="238">
      <formula>AND(B$9&gt;=14/24,B$9&lt;20/24)</formula>
    </cfRule>
    <cfRule type="expression" dxfId="2994" priority="239">
      <formula>AND(B$9&gt;=8/24,B$9&lt;14/24)</formula>
    </cfRule>
    <cfRule type="expression" dxfId="2993" priority="240">
      <formula>B$9&lt;8/24</formula>
    </cfRule>
  </conditionalFormatting>
  <conditionalFormatting sqref="B89">
    <cfRule type="expression" dxfId="2992" priority="228">
      <formula>B$9&gt;=20/24</formula>
    </cfRule>
    <cfRule type="expression" dxfId="2991" priority="229">
      <formula>AND(B$9&gt;=14/24,B$9&lt;20/24)</formula>
    </cfRule>
    <cfRule type="expression" dxfId="2990" priority="230">
      <formula>AND(B$9&gt;=8/24,B$9&lt;14/24)</formula>
    </cfRule>
    <cfRule type="expression" dxfId="2989" priority="231">
      <formula>B$9&lt;8/24</formula>
    </cfRule>
  </conditionalFormatting>
  <conditionalFormatting sqref="B90:B96 B73:B77 B86 C73:T75 B79:AF79 C60:AG60 C77:AG77 B88:AF88">
    <cfRule type="expression" dxfId="2988" priority="215">
      <formula>B$9&gt;=20/24</formula>
    </cfRule>
    <cfRule type="expression" dxfId="2987" priority="216">
      <formula>AND(B$9&gt;=14/24,B$9&lt;20/24)</formula>
    </cfRule>
    <cfRule type="expression" dxfId="2986" priority="217">
      <formula>AND(B$9&gt;=8/24,B$9&lt;14/24)</formula>
    </cfRule>
    <cfRule type="expression" dxfId="2985" priority="218">
      <formula>B$9&lt;8/24</formula>
    </cfRule>
  </conditionalFormatting>
  <conditionalFormatting sqref="C38:AG38 C56:AG56 C60:AG60">
    <cfRule type="expression" dxfId="2984" priority="210">
      <formula>C38&gt;$AG38</formula>
    </cfRule>
  </conditionalFormatting>
  <conditionalFormatting sqref="A34">
    <cfRule type="expression" dxfId="2983" priority="182">
      <formula>$AH34=0</formula>
    </cfRule>
  </conditionalFormatting>
  <conditionalFormatting sqref="B72:AF72">
    <cfRule type="expression" dxfId="2982" priority="178">
      <formula>B$9&gt;=20/24</formula>
    </cfRule>
    <cfRule type="expression" dxfId="2981" priority="179">
      <formula>AND(B$9&gt;=14/24,B$9&lt;20/24)</formula>
    </cfRule>
    <cfRule type="expression" dxfId="2980" priority="180">
      <formula>AND(B$9&gt;=8/24,B$9&lt;14/24)</formula>
    </cfRule>
    <cfRule type="expression" dxfId="2979" priority="181">
      <formula>B$9&lt;8/24</formula>
    </cfRule>
  </conditionalFormatting>
  <conditionalFormatting sqref="B81:AF85">
    <cfRule type="expression" dxfId="2978" priority="174">
      <formula>B$9&gt;=20/24</formula>
    </cfRule>
    <cfRule type="expression" dxfId="2977" priority="175">
      <formula>AND(B$9&gt;=14/24,B$9&lt;20/24)</formula>
    </cfRule>
    <cfRule type="expression" dxfId="2976" priority="176">
      <formula>AND(B$9&gt;=8/24,B$9&lt;14/24)</formula>
    </cfRule>
    <cfRule type="expression" dxfId="2975" priority="177">
      <formula>B$9&lt;8/24</formula>
    </cfRule>
  </conditionalFormatting>
  <conditionalFormatting sqref="AL35 AL7:AL30 AL32">
    <cfRule type="iconSet" priority="393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2974" priority="170">
      <formula>C$9&gt;=20/24</formula>
    </cfRule>
    <cfRule type="expression" dxfId="2973" priority="171">
      <formula>AND(C$9&gt;=14/24,C$9&lt;20/24)</formula>
    </cfRule>
    <cfRule type="expression" dxfId="2972" priority="172">
      <formula>AND(C$9&gt;=8/24,C$9&lt;14/24)</formula>
    </cfRule>
    <cfRule type="expression" dxfId="2971" priority="173">
      <formula>C$9&lt;8/24</formula>
    </cfRule>
  </conditionalFormatting>
  <conditionalFormatting sqref="C39:AF41">
    <cfRule type="expression" dxfId="2970" priority="169">
      <formula>C39&gt;$AG39</formula>
    </cfRule>
  </conditionalFormatting>
  <conditionalFormatting sqref="C42:AG42">
    <cfRule type="expression" dxfId="2969" priority="165">
      <formula>C$9&gt;=20/24</formula>
    </cfRule>
    <cfRule type="expression" dxfId="2968" priority="166">
      <formula>AND(C$9&gt;=14/24,C$9&lt;20/24)</formula>
    </cfRule>
    <cfRule type="expression" dxfId="2967" priority="167">
      <formula>AND(C$9&gt;=8/24,C$9&lt;14/24)</formula>
    </cfRule>
    <cfRule type="expression" dxfId="2966" priority="168">
      <formula>C$9&lt;8/24</formula>
    </cfRule>
  </conditionalFormatting>
  <conditionalFormatting sqref="C42:AG42">
    <cfRule type="expression" dxfId="2965" priority="164">
      <formula>C42&gt;$AG42</formula>
    </cfRule>
  </conditionalFormatting>
  <conditionalFormatting sqref="C97:AF97">
    <cfRule type="expression" dxfId="2964" priority="160">
      <formula>C$9&gt;=20/24</formula>
    </cfRule>
    <cfRule type="expression" dxfId="2963" priority="161">
      <formula>AND(C$9&gt;=14/24,C$9&lt;20/24)</formula>
    </cfRule>
    <cfRule type="expression" dxfId="2962" priority="162">
      <formula>AND(C$9&gt;=8/24,C$9&lt;14/24)</formula>
    </cfRule>
    <cfRule type="expression" dxfId="2961" priority="163">
      <formula>C$9&lt;8/24</formula>
    </cfRule>
  </conditionalFormatting>
  <conditionalFormatting sqref="B97">
    <cfRule type="expression" dxfId="2960" priority="156">
      <formula>B$9&gt;=20/24</formula>
    </cfRule>
    <cfRule type="expression" dxfId="2959" priority="157">
      <formula>AND(B$9&gt;=14/24,B$9&lt;20/24)</formula>
    </cfRule>
    <cfRule type="expression" dxfId="2958" priority="158">
      <formula>AND(B$9&gt;=8/24,B$9&lt;14/24)</formula>
    </cfRule>
    <cfRule type="expression" dxfId="2957" priority="159">
      <formula>B$9&lt;8/24</formula>
    </cfRule>
  </conditionalFormatting>
  <conditionalFormatting sqref="AL31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956" priority="150">
      <formula>$AH31=0</formula>
    </cfRule>
  </conditionalFormatting>
  <conditionalFormatting sqref="A80">
    <cfRule type="expression" dxfId="2955" priority="148">
      <formula>$AH80=0</formula>
    </cfRule>
  </conditionalFormatting>
  <conditionalFormatting sqref="A77">
    <cfRule type="expression" dxfId="2954" priority="149">
      <formula>$AH77=0</formula>
    </cfRule>
  </conditionalFormatting>
  <conditionalFormatting sqref="A106">
    <cfRule type="expression" dxfId="2953" priority="139">
      <formula>$AH106=0</formula>
    </cfRule>
  </conditionalFormatting>
  <conditionalFormatting sqref="B11:L11">
    <cfRule type="expression" dxfId="2952" priority="66">
      <formula>B$9&gt;=20/24</formula>
    </cfRule>
    <cfRule type="expression" dxfId="2951" priority="67">
      <formula>AND(B$9&gt;=14/24,B$9&lt;20/24)</formula>
    </cfRule>
    <cfRule type="expression" dxfId="2950" priority="68">
      <formula>AND(B$9&gt;=8/24,B$9&lt;14/24)</formula>
    </cfRule>
    <cfRule type="expression" dxfId="2949" priority="69">
      <formula>B$9&lt;8/24</formula>
    </cfRule>
  </conditionalFormatting>
  <conditionalFormatting sqref="B37:D37">
    <cfRule type="expression" dxfId="2948" priority="62">
      <formula>B$9&gt;=20/24</formula>
    </cfRule>
    <cfRule type="expression" dxfId="2947" priority="63">
      <formula>AND(B$9&gt;=14/24,B$9&lt;20/24)</formula>
    </cfRule>
    <cfRule type="expression" dxfId="2946" priority="64">
      <formula>AND(B$9&gt;=8/24,B$9&lt;14/24)</formula>
    </cfRule>
    <cfRule type="expression" dxfId="2945" priority="65">
      <formula>B$9&lt;8/24</formula>
    </cfRule>
  </conditionalFormatting>
  <conditionalFormatting sqref="B37:D37 B11:L16 B35:AF35">
    <cfRule type="expression" dxfId="2944" priority="61">
      <formula>B11&gt;$AG11</formula>
    </cfRule>
  </conditionalFormatting>
  <conditionalFormatting sqref="B44:B45 B61 B36:AF36">
    <cfRule type="expression" dxfId="2943" priority="57">
      <formula>B$9&gt;=20/24</formula>
    </cfRule>
    <cfRule type="expression" dxfId="2942" priority="58">
      <formula>AND(B$9&gt;=14/24,B$9&lt;20/24)</formula>
    </cfRule>
    <cfRule type="expression" dxfId="2941" priority="59">
      <formula>AND(B$9&gt;=8/24,B$9&lt;14/24)</formula>
    </cfRule>
    <cfRule type="expression" dxfId="2940" priority="60">
      <formula>B$9&lt;8/24</formula>
    </cfRule>
  </conditionalFormatting>
  <conditionalFormatting sqref="B43">
    <cfRule type="expression" dxfId="2939" priority="53">
      <formula>B$9&gt;=20/24</formula>
    </cfRule>
    <cfRule type="expression" dxfId="2938" priority="54">
      <formula>AND(B$9&gt;=14/24,B$9&lt;20/24)</formula>
    </cfRule>
    <cfRule type="expression" dxfId="2937" priority="55">
      <formula>AND(B$9&gt;=8/24,B$9&lt;14/24)</formula>
    </cfRule>
    <cfRule type="expression" dxfId="2936" priority="56">
      <formula>B$9&lt;8/24</formula>
    </cfRule>
  </conditionalFormatting>
  <conditionalFormatting sqref="B43:B45 B36:AF36">
    <cfRule type="expression" dxfId="2935" priority="52">
      <formula>B36&gt;$AG36</formula>
    </cfRule>
  </conditionalFormatting>
  <conditionalFormatting sqref="B57:B59 B62:B71 B12:L14 B16:L16 B18:AB22 B24:AB26 B28:AF32 AC25:AF26">
    <cfRule type="expression" dxfId="2934" priority="48">
      <formula>B$9&gt;=20/24</formula>
    </cfRule>
    <cfRule type="expression" dxfId="2933" priority="49">
      <formula>AND(B$9&gt;=14/24,B$9&lt;20/24)</formula>
    </cfRule>
    <cfRule type="expression" dxfId="2932" priority="50">
      <formula>AND(B$9&gt;=8/24,B$9&lt;14/24)</formula>
    </cfRule>
    <cfRule type="expression" dxfId="2931" priority="51">
      <formula>B$9&lt;8/24</formula>
    </cfRule>
  </conditionalFormatting>
  <conditionalFormatting sqref="B33:AF33">
    <cfRule type="expression" dxfId="2930" priority="44">
      <formula>B$9&gt;=20/24</formula>
    </cfRule>
    <cfRule type="expression" dxfId="2929" priority="45">
      <formula>AND(B$9&gt;=14/24,B$9&lt;20/24)</formula>
    </cfRule>
    <cfRule type="expression" dxfId="2928" priority="46">
      <formula>AND(B$9&gt;=8/24,B$9&lt;14/24)</formula>
    </cfRule>
    <cfRule type="expression" dxfId="2927" priority="47">
      <formula>B$9&lt;8/24</formula>
    </cfRule>
  </conditionalFormatting>
  <conditionalFormatting sqref="B55 B57:B59 B46:B47 B18:AB22 B24:AB33 AC25:AF33">
    <cfRule type="expression" dxfId="2926" priority="43">
      <formula>B18&gt;$AG18</formula>
    </cfRule>
  </conditionalFormatting>
  <conditionalFormatting sqref="B35:AF35">
    <cfRule type="expression" dxfId="2925" priority="39">
      <formula>B$9&gt;=20/24</formula>
    </cfRule>
    <cfRule type="expression" dxfId="2924" priority="40">
      <formula>AND(B$9&gt;=14/24,B$9&lt;20/24)</formula>
    </cfRule>
    <cfRule type="expression" dxfId="2923" priority="41">
      <formula>AND(B$9&gt;=8/24,B$9&lt;14/24)</formula>
    </cfRule>
    <cfRule type="expression" dxfId="2922" priority="42">
      <formula>B$9&lt;8/24</formula>
    </cfRule>
  </conditionalFormatting>
  <conditionalFormatting sqref="B15:L15">
    <cfRule type="expression" dxfId="2921" priority="35">
      <formula>B$9&gt;=20/24</formula>
    </cfRule>
    <cfRule type="expression" dxfId="2920" priority="36">
      <formula>AND(B$9&gt;=14/24,B$9&lt;20/24)</formula>
    </cfRule>
    <cfRule type="expression" dxfId="2919" priority="37">
      <formula>AND(B$9&gt;=8/24,B$9&lt;14/24)</formula>
    </cfRule>
    <cfRule type="expression" dxfId="2918" priority="38">
      <formula>B$9&lt;8/24</formula>
    </cfRule>
  </conditionalFormatting>
  <conditionalFormatting sqref="B34:AF34">
    <cfRule type="expression" dxfId="2917" priority="31">
      <formula>B$9&gt;=20/24</formula>
    </cfRule>
    <cfRule type="expression" dxfId="2916" priority="32">
      <formula>AND(B$9&gt;=14/24,B$9&lt;20/24)</formula>
    </cfRule>
    <cfRule type="expression" dxfId="2915" priority="33">
      <formula>AND(B$9&gt;=8/24,B$9&lt;14/24)</formula>
    </cfRule>
    <cfRule type="expression" dxfId="2914" priority="34">
      <formula>B$9&lt;8/24</formula>
    </cfRule>
  </conditionalFormatting>
  <conditionalFormatting sqref="B34:AF34">
    <cfRule type="expression" dxfId="2913" priority="30">
      <formula>B34&gt;$AG34</formula>
    </cfRule>
  </conditionalFormatting>
  <conditionalFormatting sqref="B48:B54">
    <cfRule type="expression" dxfId="2912" priority="26">
      <formula>B$9&gt;=20/24</formula>
    </cfRule>
    <cfRule type="expression" dxfId="2911" priority="27">
      <formula>AND(B$9&gt;=14/24,B$9&lt;20/24)</formula>
    </cfRule>
    <cfRule type="expression" dxfId="2910" priority="28">
      <formula>AND(B$9&gt;=8/24,B$9&lt;14/24)</formula>
    </cfRule>
    <cfRule type="expression" dxfId="2909" priority="29">
      <formula>B$9&lt;8/24</formula>
    </cfRule>
  </conditionalFormatting>
  <conditionalFormatting sqref="B48:B54">
    <cfRule type="expression" dxfId="2908" priority="25">
      <formula>B48&gt;$AG48</formula>
    </cfRule>
  </conditionalFormatting>
  <conditionalFormatting sqref="B27:AF27">
    <cfRule type="expression" dxfId="2907" priority="21">
      <formula>B$9&gt;=20/24</formula>
    </cfRule>
    <cfRule type="expression" dxfId="2906" priority="22">
      <formula>AND(B$9&gt;=14/24,B$9&lt;20/24)</formula>
    </cfRule>
    <cfRule type="expression" dxfId="2905" priority="23">
      <formula>AND(B$9&gt;=8/24,B$9&lt;14/24)</formula>
    </cfRule>
    <cfRule type="expression" dxfId="2904" priority="24">
      <formula>B$9&lt;8/24</formula>
    </cfRule>
  </conditionalFormatting>
  <conditionalFormatting sqref="B17:L17 B23:AB23">
    <cfRule type="expression" dxfId="2903" priority="17">
      <formula>B$9&gt;=20/24</formula>
    </cfRule>
    <cfRule type="expression" dxfId="2902" priority="18">
      <formula>AND(B$9&gt;=14/24,B$9&lt;20/24)</formula>
    </cfRule>
    <cfRule type="expression" dxfId="2901" priority="19">
      <formula>AND(B$9&gt;=8/24,B$9&lt;14/24)</formula>
    </cfRule>
    <cfRule type="expression" dxfId="2900" priority="20">
      <formula>B$9&lt;8/24</formula>
    </cfRule>
  </conditionalFormatting>
  <conditionalFormatting sqref="B17:L17 B23:AB23">
    <cfRule type="expression" dxfId="2899" priority="16">
      <formula>B17&gt;$AG17</formula>
    </cfRule>
  </conditionalFormatting>
  <conditionalFormatting sqref="B60">
    <cfRule type="expression" dxfId="2898" priority="12">
      <formula>B$9&gt;=20/24</formula>
    </cfRule>
    <cfRule type="expression" dxfId="2897" priority="13">
      <formula>AND(B$9&gt;=14/24,B$9&lt;20/24)</formula>
    </cfRule>
    <cfRule type="expression" dxfId="2896" priority="14">
      <formula>AND(B$9&gt;=8/24,B$9&lt;14/24)</formula>
    </cfRule>
    <cfRule type="expression" dxfId="2895" priority="15">
      <formula>B$9&lt;8/24</formula>
    </cfRule>
  </conditionalFormatting>
  <conditionalFormatting sqref="B56 B60 B38">
    <cfRule type="expression" dxfId="2894" priority="11">
      <formula>B38&gt;$AG38</formula>
    </cfRule>
  </conditionalFormatting>
  <conditionalFormatting sqref="B39:B41">
    <cfRule type="expression" dxfId="2893" priority="7">
      <formula>B$9&gt;=20/24</formula>
    </cfRule>
    <cfRule type="expression" dxfId="2892" priority="8">
      <formula>AND(B$9&gt;=14/24,B$9&lt;20/24)</formula>
    </cfRule>
    <cfRule type="expression" dxfId="2891" priority="9">
      <formula>AND(B$9&gt;=8/24,B$9&lt;14/24)</formula>
    </cfRule>
    <cfRule type="expression" dxfId="2890" priority="10">
      <formula>B$9&lt;8/24</formula>
    </cfRule>
  </conditionalFormatting>
  <conditionalFormatting sqref="B39:B41">
    <cfRule type="expression" dxfId="2889" priority="6">
      <formula>B39&gt;$AG39</formula>
    </cfRule>
  </conditionalFormatting>
  <conditionalFormatting sqref="B42">
    <cfRule type="expression" dxfId="2888" priority="2">
      <formula>B$9&gt;=20/24</formula>
    </cfRule>
    <cfRule type="expression" dxfId="2887" priority="3">
      <formula>AND(B$9&gt;=14/24,B$9&lt;20/24)</formula>
    </cfRule>
    <cfRule type="expression" dxfId="2886" priority="4">
      <formula>AND(B$9&gt;=8/24,B$9&lt;14/24)</formula>
    </cfRule>
    <cfRule type="expression" dxfId="2885" priority="5">
      <formula>B$9&lt;8/24</formula>
    </cfRule>
  </conditionalFormatting>
  <conditionalFormatting sqref="B42">
    <cfRule type="expression" dxfId="2884" priority="1">
      <formula>B42&gt;$AG42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1" id="{EA20D384-3D16-4E0E-A654-DCC30CD44E9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2" id="{179A0FF1-E043-4D81-9296-0535E4A6A45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3" id="{10DBA78A-DFA6-452A-9347-8F85C807538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4" id="{54DA6AA2-E180-4AC5-8838-6BB73D29AE0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44" id="{97FD5D11-9DA3-4F66-B340-B8D8F3A2863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5" id="{DEDB8BED-1722-4A4A-B984-BD16F5FE977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6" id="{1C47D1AF-0ECC-4E49-8209-DF16D20942A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7" id="{504A1918-45C6-4F1B-A7D7-E92A2B7EBAB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140" id="{26014581-3028-4E2C-966C-F769EA27034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1" id="{5877695D-EE5D-452F-9DD1-A8B70511EDA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2" id="{8F8B9872-039F-482D-BCC7-306A2584557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3" id="{0D0B7E28-B8D2-4F2B-9F9E-FEEFA462494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CJ493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6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2079/02/24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6</v>
      </c>
      <c r="C5" s="205">
        <f t="shared" si="0"/>
        <v>6</v>
      </c>
      <c r="D5" s="205">
        <f t="shared" si="0"/>
        <v>76</v>
      </c>
      <c r="E5" s="205">
        <f t="shared" si="0"/>
        <v>70.16</v>
      </c>
      <c r="F5" s="205">
        <f t="shared" si="0"/>
        <v>76.900000000000006</v>
      </c>
      <c r="G5" s="205">
        <f t="shared" si="0"/>
        <v>67.259999999999991</v>
      </c>
      <c r="H5" s="205">
        <f t="shared" si="0"/>
        <v>71</v>
      </c>
      <c r="I5" s="205">
        <f t="shared" si="0"/>
        <v>56</v>
      </c>
      <c r="J5" s="205">
        <f t="shared" si="0"/>
        <v>51</v>
      </c>
      <c r="K5" s="205">
        <f t="shared" si="0"/>
        <v>44.47</v>
      </c>
      <c r="L5" s="205">
        <f t="shared" si="0"/>
        <v>48.24</v>
      </c>
      <c r="M5" s="205">
        <f t="shared" si="0"/>
        <v>60.73</v>
      </c>
      <c r="N5" s="205">
        <f t="shared" si="0"/>
        <v>26.2</v>
      </c>
      <c r="O5" s="205">
        <f t="shared" si="0"/>
        <v>17.880000000000003</v>
      </c>
      <c r="P5" s="205">
        <f t="shared" si="0"/>
        <v>43.61</v>
      </c>
      <c r="Q5" s="205">
        <f t="shared" si="0"/>
        <v>34.15</v>
      </c>
      <c r="R5" s="205">
        <f t="shared" si="0"/>
        <v>33.9</v>
      </c>
      <c r="S5" s="205">
        <f t="shared" si="0"/>
        <v>31.29</v>
      </c>
      <c r="T5" s="205">
        <f t="shared" si="0"/>
        <v>41</v>
      </c>
      <c r="U5" s="205">
        <f t="shared" si="0"/>
        <v>43</v>
      </c>
      <c r="V5" s="205">
        <f t="shared" si="0"/>
        <v>34</v>
      </c>
      <c r="W5" s="205">
        <f t="shared" si="0"/>
        <v>40</v>
      </c>
      <c r="X5" s="205">
        <f t="shared" si="0"/>
        <v>36</v>
      </c>
      <c r="Y5" s="205">
        <f t="shared" si="0"/>
        <v>50</v>
      </c>
      <c r="Z5" s="205">
        <f t="shared" si="0"/>
        <v>66</v>
      </c>
      <c r="AA5" s="205">
        <f t="shared" si="0"/>
        <v>54.79</v>
      </c>
      <c r="AB5" s="205">
        <f t="shared" si="0"/>
        <v>57.22</v>
      </c>
      <c r="AC5" s="205">
        <f t="shared" si="0"/>
        <v>57.92</v>
      </c>
      <c r="AD5" s="205">
        <f t="shared" si="0"/>
        <v>53.21</v>
      </c>
      <c r="AE5" s="205">
        <f t="shared" si="0"/>
        <v>39.5</v>
      </c>
      <c r="AF5" s="205">
        <f>B72</f>
        <v>6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1786MW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Load=1582</v>
      </c>
      <c r="B7" s="210">
        <f>B79</f>
        <v>1741.2399999999998</v>
      </c>
      <c r="C7" s="210">
        <f t="shared" ref="C7:AF7" si="1">C79</f>
        <v>1690.24</v>
      </c>
      <c r="D7" s="210">
        <f t="shared" si="1"/>
        <v>1582.0400000000002</v>
      </c>
      <c r="E7" s="210">
        <f t="shared" si="1"/>
        <v>1652.5400000000002</v>
      </c>
      <c r="F7" s="210">
        <f t="shared" si="1"/>
        <v>1664.4000000000003</v>
      </c>
      <c r="G7" s="210">
        <f t="shared" si="1"/>
        <v>1683.5400000000002</v>
      </c>
      <c r="H7" s="210">
        <f t="shared" si="1"/>
        <v>1683.2</v>
      </c>
      <c r="I7" s="210">
        <f t="shared" si="1"/>
        <v>1696.64</v>
      </c>
      <c r="J7" s="210">
        <f t="shared" si="1"/>
        <v>1707.8400000000001</v>
      </c>
      <c r="K7" s="210">
        <f t="shared" si="1"/>
        <v>1743.5400000000002</v>
      </c>
      <c r="L7" s="210">
        <f t="shared" si="1"/>
        <v>1765.21</v>
      </c>
      <c r="M7" s="210">
        <f t="shared" si="1"/>
        <v>1785.3799999999999</v>
      </c>
      <c r="N7" s="210">
        <f t="shared" si="1"/>
        <v>1785.87</v>
      </c>
      <c r="O7" s="210">
        <f t="shared" si="1"/>
        <v>1751.74</v>
      </c>
      <c r="P7" s="210">
        <f t="shared" si="1"/>
        <v>1728.8200000000002</v>
      </c>
      <c r="Q7" s="210">
        <f t="shared" si="1"/>
        <v>1739.6499999999999</v>
      </c>
      <c r="R7" s="210">
        <f t="shared" si="1"/>
        <v>1733.69</v>
      </c>
      <c r="S7" s="210">
        <f t="shared" si="1"/>
        <v>1737.94</v>
      </c>
      <c r="T7" s="210">
        <f t="shared" si="1"/>
        <v>1783.23</v>
      </c>
      <c r="U7" s="210">
        <f t="shared" si="1"/>
        <v>1735.24</v>
      </c>
      <c r="V7" s="210">
        <f t="shared" si="1"/>
        <v>1755.74</v>
      </c>
      <c r="W7" s="210">
        <f t="shared" si="1"/>
        <v>1767.24</v>
      </c>
      <c r="X7" s="210">
        <f t="shared" si="1"/>
        <v>1787.74</v>
      </c>
      <c r="Y7" s="210">
        <f t="shared" si="1"/>
        <v>1803.14</v>
      </c>
      <c r="Z7" s="210">
        <f t="shared" si="1"/>
        <v>1847.14</v>
      </c>
      <c r="AA7" s="210">
        <f t="shared" si="1"/>
        <v>1830.24</v>
      </c>
      <c r="AB7" s="210">
        <f t="shared" si="1"/>
        <v>1737.9299999999998</v>
      </c>
      <c r="AC7" s="210">
        <f t="shared" si="1"/>
        <v>1798.26</v>
      </c>
      <c r="AD7" s="210">
        <f t="shared" si="1"/>
        <v>1798.16</v>
      </c>
      <c r="AE7" s="210">
        <f t="shared" si="1"/>
        <v>1789.45</v>
      </c>
      <c r="AF7" s="210">
        <f t="shared" si="1"/>
        <v>1770.74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4">
        <v>53.1</v>
      </c>
      <c r="C11" s="224">
        <v>53.1</v>
      </c>
      <c r="D11" s="224">
        <v>53.1</v>
      </c>
      <c r="E11" s="224">
        <v>53.1</v>
      </c>
      <c r="F11" s="224">
        <v>53.1</v>
      </c>
      <c r="G11" s="224">
        <v>53.1</v>
      </c>
      <c r="H11" s="224">
        <v>53.1</v>
      </c>
      <c r="I11" s="224">
        <v>53.1</v>
      </c>
      <c r="J11" s="224">
        <v>53.1</v>
      </c>
      <c r="K11" s="224">
        <v>53.1</v>
      </c>
      <c r="L11" s="224">
        <v>53.1</v>
      </c>
      <c r="M11" s="224">
        <v>53.1</v>
      </c>
      <c r="N11" s="224">
        <v>53.1</v>
      </c>
      <c r="O11" s="224">
        <v>53.1</v>
      </c>
      <c r="P11" s="224">
        <v>53.1</v>
      </c>
      <c r="Q11" s="221">
        <v>53.1</v>
      </c>
      <c r="R11" s="221">
        <v>53.1</v>
      </c>
      <c r="S11" s="221">
        <v>53.1</v>
      </c>
      <c r="T11" s="224">
        <v>53.2</v>
      </c>
      <c r="U11" s="224">
        <v>53.2</v>
      </c>
      <c r="V11" s="224">
        <v>53.2</v>
      </c>
      <c r="W11" s="224">
        <v>53.2</v>
      </c>
      <c r="X11" s="224">
        <v>53.2</v>
      </c>
      <c r="Y11" s="224">
        <v>53.2</v>
      </c>
      <c r="Z11" s="224">
        <v>53.2</v>
      </c>
      <c r="AA11" s="224">
        <v>53.2</v>
      </c>
      <c r="AB11" s="224">
        <v>53.2</v>
      </c>
      <c r="AC11" s="224">
        <v>53.2</v>
      </c>
      <c r="AD11" s="224">
        <v>53.2</v>
      </c>
      <c r="AE11" s="224">
        <v>53.2</v>
      </c>
      <c r="AF11" s="224">
        <v>53.2</v>
      </c>
      <c r="AG11" s="225">
        <v>52.4</v>
      </c>
      <c r="AH11" s="226">
        <f>MAX(B11:AF11)</f>
        <v>53.2</v>
      </c>
      <c r="AI11" s="227">
        <f>MIN(B11:AF11)</f>
        <v>53.1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50.3</v>
      </c>
      <c r="C12" s="221">
        <v>50.3</v>
      </c>
      <c r="D12" s="221">
        <v>50.3</v>
      </c>
      <c r="E12" s="221">
        <v>50.3</v>
      </c>
      <c r="F12" s="221">
        <v>50.3</v>
      </c>
      <c r="G12" s="221">
        <v>50.3</v>
      </c>
      <c r="H12" s="221">
        <v>50.3</v>
      </c>
      <c r="I12" s="221">
        <v>50.3</v>
      </c>
      <c r="J12" s="221">
        <v>50.3</v>
      </c>
      <c r="K12" s="221">
        <v>50.3</v>
      </c>
      <c r="L12" s="221">
        <v>50.3</v>
      </c>
      <c r="M12" s="221">
        <v>50.3</v>
      </c>
      <c r="N12" s="221">
        <v>50.3</v>
      </c>
      <c r="O12" s="221">
        <v>50.3</v>
      </c>
      <c r="P12" s="221">
        <v>50.3</v>
      </c>
      <c r="Q12" s="221">
        <v>50.3</v>
      </c>
      <c r="R12" s="221">
        <v>50.3</v>
      </c>
      <c r="S12" s="221">
        <v>50.3</v>
      </c>
      <c r="T12" s="221">
        <v>52.9</v>
      </c>
      <c r="U12" s="221">
        <v>52.9</v>
      </c>
      <c r="V12" s="221">
        <v>52.9</v>
      </c>
      <c r="W12" s="221">
        <v>52.9</v>
      </c>
      <c r="X12" s="221">
        <v>52.9</v>
      </c>
      <c r="Y12" s="221">
        <v>52.9</v>
      </c>
      <c r="Z12" s="221">
        <v>52.9</v>
      </c>
      <c r="AA12" s="221">
        <v>52.9</v>
      </c>
      <c r="AB12" s="221">
        <v>52.9</v>
      </c>
      <c r="AC12" s="221">
        <v>52.9</v>
      </c>
      <c r="AD12" s="221">
        <v>52.9</v>
      </c>
      <c r="AE12" s="221">
        <v>52.9</v>
      </c>
      <c r="AF12" s="221">
        <v>52.9</v>
      </c>
      <c r="AG12" s="229">
        <v>50</v>
      </c>
      <c r="AH12" s="226">
        <f t="shared" ref="AH12:AH79" si="2">MAX(B12:AF12)</f>
        <v>52.9</v>
      </c>
      <c r="AI12" s="227">
        <f t="shared" ref="AI12:AI79" si="3">MIN(B12:AF12)</f>
        <v>50.3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45.9</v>
      </c>
      <c r="C13" s="221">
        <v>45.9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45.9</v>
      </c>
      <c r="Y13" s="221">
        <v>45.9</v>
      </c>
      <c r="Z13" s="221">
        <v>45.9</v>
      </c>
      <c r="AA13" s="221">
        <v>45.9</v>
      </c>
      <c r="AB13" s="221">
        <v>45.9</v>
      </c>
      <c r="AC13" s="221">
        <v>45.9</v>
      </c>
      <c r="AD13" s="221">
        <v>45.9</v>
      </c>
      <c r="AE13" s="221">
        <v>45.9</v>
      </c>
      <c r="AF13" s="221">
        <v>45.9</v>
      </c>
      <c r="AG13" s="229">
        <v>45</v>
      </c>
      <c r="AH13" s="226">
        <f t="shared" si="2"/>
        <v>45.9</v>
      </c>
      <c r="AI13" s="227">
        <f t="shared" si="3"/>
        <v>45.9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32</v>
      </c>
      <c r="C14" s="221">
        <v>32</v>
      </c>
      <c r="D14" s="221">
        <v>26</v>
      </c>
      <c r="E14" s="221">
        <v>26</v>
      </c>
      <c r="F14" s="221">
        <v>26</v>
      </c>
      <c r="G14" s="221">
        <v>26</v>
      </c>
      <c r="H14" s="221">
        <v>26</v>
      </c>
      <c r="I14" s="221">
        <v>26</v>
      </c>
      <c r="J14" s="221">
        <v>26</v>
      </c>
      <c r="K14" s="221">
        <v>35</v>
      </c>
      <c r="L14" s="221">
        <v>41</v>
      </c>
      <c r="M14" s="221">
        <v>41</v>
      </c>
      <c r="N14" s="221">
        <v>32</v>
      </c>
      <c r="O14" s="221">
        <v>32</v>
      </c>
      <c r="P14" s="221">
        <v>41</v>
      </c>
      <c r="Q14" s="221">
        <v>41</v>
      </c>
      <c r="R14" s="221">
        <v>32</v>
      </c>
      <c r="S14" s="221">
        <v>32</v>
      </c>
      <c r="T14" s="221">
        <v>32</v>
      </c>
      <c r="U14" s="221">
        <v>33</v>
      </c>
      <c r="V14" s="221">
        <v>33</v>
      </c>
      <c r="W14" s="221">
        <v>33</v>
      </c>
      <c r="X14" s="221">
        <v>33</v>
      </c>
      <c r="Y14" s="221">
        <v>33</v>
      </c>
      <c r="Z14" s="221">
        <v>36</v>
      </c>
      <c r="AA14" s="221">
        <v>36</v>
      </c>
      <c r="AB14" s="221">
        <v>36</v>
      </c>
      <c r="AC14" s="221">
        <v>36</v>
      </c>
      <c r="AD14" s="221">
        <v>36</v>
      </c>
      <c r="AE14" s="221">
        <v>32</v>
      </c>
      <c r="AF14" s="221">
        <v>32</v>
      </c>
      <c r="AG14" s="229">
        <v>42</v>
      </c>
      <c r="AH14" s="226">
        <f t="shared" si="2"/>
        <v>41</v>
      </c>
      <c r="AI14" s="227">
        <f t="shared" si="3"/>
        <v>26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15</v>
      </c>
      <c r="C15" s="221">
        <v>15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10</v>
      </c>
      <c r="L15" s="221">
        <v>15</v>
      </c>
      <c r="M15" s="221">
        <v>15</v>
      </c>
      <c r="N15" s="221">
        <v>15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20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25.3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25.3</v>
      </c>
      <c r="N16" s="221">
        <v>25.3</v>
      </c>
      <c r="O16" s="221">
        <v>25.3</v>
      </c>
      <c r="P16" s="221">
        <v>25.3</v>
      </c>
      <c r="Q16" s="221">
        <v>25.3</v>
      </c>
      <c r="R16" s="221">
        <v>25.3</v>
      </c>
      <c r="S16" s="221">
        <v>25.3</v>
      </c>
      <c r="T16" s="221">
        <v>25.3</v>
      </c>
      <c r="U16" s="221">
        <v>25.3</v>
      </c>
      <c r="V16" s="221">
        <v>25.3</v>
      </c>
      <c r="W16" s="221">
        <v>25.3</v>
      </c>
      <c r="X16" s="221">
        <v>25.3</v>
      </c>
      <c r="Y16" s="221">
        <v>25.3</v>
      </c>
      <c r="Z16" s="221">
        <v>25.3</v>
      </c>
      <c r="AA16" s="221">
        <v>25.3</v>
      </c>
      <c r="AB16" s="221">
        <v>25.3</v>
      </c>
      <c r="AC16" s="221">
        <v>25.3</v>
      </c>
      <c r="AD16" s="221">
        <v>25.3</v>
      </c>
      <c r="AE16" s="221">
        <v>25.3</v>
      </c>
      <c r="AF16" s="221">
        <v>25.3</v>
      </c>
      <c r="AG16" s="229">
        <v>25</v>
      </c>
      <c r="AH16" s="226">
        <f t="shared" si="2"/>
        <v>25.3</v>
      </c>
      <c r="AI16" s="227">
        <f t="shared" si="3"/>
        <v>25.3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0</v>
      </c>
      <c r="C17" s="221">
        <v>0</v>
      </c>
      <c r="D17" s="221">
        <v>0</v>
      </c>
      <c r="E17" s="221">
        <v>0</v>
      </c>
      <c r="F17" s="221">
        <v>0</v>
      </c>
      <c r="G17" s="221">
        <v>0</v>
      </c>
      <c r="H17" s="221">
        <v>0</v>
      </c>
      <c r="I17" s="221">
        <v>0</v>
      </c>
      <c r="J17" s="221">
        <v>0</v>
      </c>
      <c r="K17" s="221">
        <v>0</v>
      </c>
      <c r="L17" s="221">
        <v>0</v>
      </c>
      <c r="M17" s="221">
        <v>0</v>
      </c>
      <c r="N17" s="221">
        <v>0</v>
      </c>
      <c r="O17" s="221">
        <v>0</v>
      </c>
      <c r="P17" s="221">
        <v>0</v>
      </c>
      <c r="Q17" s="221">
        <v>0</v>
      </c>
      <c r="R17" s="221">
        <v>0</v>
      </c>
      <c r="S17" s="221">
        <v>0</v>
      </c>
      <c r="T17" s="221">
        <v>0</v>
      </c>
      <c r="U17" s="221">
        <v>12.5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26</v>
      </c>
      <c r="E19" s="221">
        <v>26</v>
      </c>
      <c r="F19" s="221">
        <v>26</v>
      </c>
      <c r="G19" s="221">
        <v>26</v>
      </c>
      <c r="H19" s="221">
        <v>26</v>
      </c>
      <c r="I19" s="221">
        <v>26</v>
      </c>
      <c r="J19" s="221">
        <v>26</v>
      </c>
      <c r="K19" s="221">
        <v>26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33.200000000000003</v>
      </c>
      <c r="AI19" s="227">
        <f t="shared" si="3"/>
        <v>26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23.5</v>
      </c>
      <c r="C20" s="221">
        <v>23.5</v>
      </c>
      <c r="D20" s="221">
        <v>23.5</v>
      </c>
      <c r="E20" s="221">
        <v>23.5</v>
      </c>
      <c r="F20" s="221">
        <v>23.5</v>
      </c>
      <c r="G20" s="221">
        <v>23.5</v>
      </c>
      <c r="H20" s="221">
        <v>23.5</v>
      </c>
      <c r="I20" s="221">
        <v>23.5</v>
      </c>
      <c r="J20" s="221">
        <v>23.5</v>
      </c>
      <c r="K20" s="221">
        <v>23.5</v>
      </c>
      <c r="L20" s="221">
        <v>23.5</v>
      </c>
      <c r="M20" s="221">
        <v>23.5</v>
      </c>
      <c r="N20" s="221">
        <v>23.5</v>
      </c>
      <c r="O20" s="221">
        <v>23.5</v>
      </c>
      <c r="P20" s="221">
        <v>23.5</v>
      </c>
      <c r="Q20" s="221">
        <v>23.5</v>
      </c>
      <c r="R20" s="221">
        <v>23.5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0</v>
      </c>
      <c r="X20" s="221">
        <v>23</v>
      </c>
      <c r="Y20" s="221">
        <v>23</v>
      </c>
      <c r="Z20" s="221">
        <v>23</v>
      </c>
      <c r="AA20" s="221">
        <v>23</v>
      </c>
      <c r="AB20" s="221">
        <v>23</v>
      </c>
      <c r="AC20" s="221">
        <v>23</v>
      </c>
      <c r="AD20" s="221">
        <v>23</v>
      </c>
      <c r="AE20" s="221">
        <v>23</v>
      </c>
      <c r="AF20" s="221">
        <v>23</v>
      </c>
      <c r="AG20" s="229">
        <v>23.5</v>
      </c>
      <c r="AH20" s="226">
        <f t="shared" si="2"/>
        <v>23.5</v>
      </c>
      <c r="AI20" s="227">
        <f t="shared" si="3"/>
        <v>0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10</v>
      </c>
      <c r="C22" s="221">
        <v>10</v>
      </c>
      <c r="D22" s="221">
        <v>10</v>
      </c>
      <c r="E22" s="221">
        <v>10</v>
      </c>
      <c r="F22" s="221">
        <v>10</v>
      </c>
      <c r="G22" s="221">
        <v>10</v>
      </c>
      <c r="H22" s="221">
        <v>10</v>
      </c>
      <c r="I22" s="221">
        <v>10</v>
      </c>
      <c r="J22" s="221">
        <v>10</v>
      </c>
      <c r="K22" s="221">
        <v>10</v>
      </c>
      <c r="L22" s="221">
        <v>10</v>
      </c>
      <c r="M22" s="221">
        <v>10</v>
      </c>
      <c r="N22" s="221">
        <v>10</v>
      </c>
      <c r="O22" s="221">
        <v>10</v>
      </c>
      <c r="P22" s="221">
        <v>10</v>
      </c>
      <c r="Q22" s="221">
        <v>10</v>
      </c>
      <c r="R22" s="221">
        <v>10</v>
      </c>
      <c r="S22" s="221">
        <v>10</v>
      </c>
      <c r="T22" s="221">
        <v>10</v>
      </c>
      <c r="U22" s="221">
        <v>10</v>
      </c>
      <c r="V22" s="221">
        <v>10</v>
      </c>
      <c r="W22" s="221">
        <v>10</v>
      </c>
      <c r="X22" s="221">
        <v>10</v>
      </c>
      <c r="Y22" s="221">
        <v>10</v>
      </c>
      <c r="Z22" s="221">
        <v>10</v>
      </c>
      <c r="AA22" s="221">
        <v>10</v>
      </c>
      <c r="AB22" s="221">
        <v>10</v>
      </c>
      <c r="AC22" s="221">
        <v>10</v>
      </c>
      <c r="AD22" s="221">
        <v>10</v>
      </c>
      <c r="AE22" s="221">
        <v>10</v>
      </c>
      <c r="AF22" s="221">
        <v>10</v>
      </c>
      <c r="AG22" s="229">
        <v>22.1</v>
      </c>
      <c r="AH22" s="226">
        <f t="shared" si="2"/>
        <v>10</v>
      </c>
      <c r="AI22" s="227">
        <f t="shared" si="3"/>
        <v>10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19</v>
      </c>
      <c r="AC24" s="221">
        <v>19</v>
      </c>
      <c r="AD24" s="221">
        <v>19</v>
      </c>
      <c r="AE24" s="221">
        <v>19</v>
      </c>
      <c r="AF24" s="221">
        <v>19</v>
      </c>
      <c r="AG24" s="229">
        <v>22</v>
      </c>
      <c r="AH24" s="226">
        <f t="shared" si="2"/>
        <v>20</v>
      </c>
      <c r="AI24" s="227">
        <f t="shared" si="3"/>
        <v>19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5</v>
      </c>
      <c r="C25" s="221">
        <v>5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10</v>
      </c>
      <c r="M25" s="221">
        <v>15</v>
      </c>
      <c r="N25" s="221">
        <v>12</v>
      </c>
      <c r="O25" s="221">
        <v>12</v>
      </c>
      <c r="P25" s="221">
        <v>5</v>
      </c>
      <c r="Q25" s="221">
        <v>5</v>
      </c>
      <c r="R25" s="221">
        <v>10</v>
      </c>
      <c r="S25" s="221">
        <v>10</v>
      </c>
      <c r="T25" s="221">
        <v>10</v>
      </c>
      <c r="U25" s="221">
        <v>10</v>
      </c>
      <c r="V25" s="221">
        <v>10</v>
      </c>
      <c r="W25" s="221">
        <v>10</v>
      </c>
      <c r="X25" s="221">
        <v>10</v>
      </c>
      <c r="Y25" s="221">
        <v>10</v>
      </c>
      <c r="Z25" s="221">
        <v>10</v>
      </c>
      <c r="AA25" s="221">
        <v>10</v>
      </c>
      <c r="AB25" s="221">
        <v>10</v>
      </c>
      <c r="AC25" s="221">
        <v>10</v>
      </c>
      <c r="AD25" s="221">
        <v>10</v>
      </c>
      <c r="AE25" s="221">
        <v>10</v>
      </c>
      <c r="AF25" s="221">
        <v>5</v>
      </c>
      <c r="AG25" s="229">
        <v>20</v>
      </c>
      <c r="AH25" s="226">
        <f t="shared" si="2"/>
        <v>15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7.8</v>
      </c>
      <c r="C26" s="221">
        <v>7.8</v>
      </c>
      <c r="D26" s="221">
        <v>7.8</v>
      </c>
      <c r="E26" s="221">
        <v>7.8</v>
      </c>
      <c r="F26" s="221">
        <v>7.8</v>
      </c>
      <c r="G26" s="221">
        <v>7.8</v>
      </c>
      <c r="H26" s="221">
        <v>7.8</v>
      </c>
      <c r="I26" s="221">
        <v>7.8</v>
      </c>
      <c r="J26" s="221">
        <v>7.8</v>
      </c>
      <c r="K26" s="221">
        <v>7.8</v>
      </c>
      <c r="L26" s="221">
        <v>7.8</v>
      </c>
      <c r="M26" s="221">
        <v>7.8</v>
      </c>
      <c r="N26" s="221">
        <v>7.8</v>
      </c>
      <c r="O26" s="221">
        <v>7.8</v>
      </c>
      <c r="P26" s="221">
        <v>7.8</v>
      </c>
      <c r="Q26" s="221">
        <v>7.8</v>
      </c>
      <c r="R26" s="221">
        <v>7.8</v>
      </c>
      <c r="S26" s="221">
        <v>7.8</v>
      </c>
      <c r="T26" s="221">
        <v>7.8</v>
      </c>
      <c r="U26" s="221">
        <v>7.8</v>
      </c>
      <c r="V26" s="221">
        <v>7.8</v>
      </c>
      <c r="W26" s="221">
        <v>7.8</v>
      </c>
      <c r="X26" s="221">
        <v>7.8</v>
      </c>
      <c r="Y26" s="221">
        <v>7.8</v>
      </c>
      <c r="Z26" s="221">
        <v>7.8</v>
      </c>
      <c r="AA26" s="221">
        <v>7.8</v>
      </c>
      <c r="AB26" s="221">
        <v>7.8</v>
      </c>
      <c r="AC26" s="221">
        <v>7.8</v>
      </c>
      <c r="AD26" s="221">
        <v>7.8</v>
      </c>
      <c r="AE26" s="221">
        <v>7.8</v>
      </c>
      <c r="AF26" s="221">
        <v>7.8</v>
      </c>
      <c r="AG26" s="229">
        <v>14.9</v>
      </c>
      <c r="AH26" s="226">
        <f t="shared" si="2"/>
        <v>7.8</v>
      </c>
      <c r="AI26" s="227">
        <f t="shared" si="3"/>
        <v>7.8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8</v>
      </c>
      <c r="C27" s="221">
        <v>8</v>
      </c>
      <c r="D27" s="221">
        <v>8</v>
      </c>
      <c r="E27" s="221">
        <v>8</v>
      </c>
      <c r="F27" s="221">
        <v>8</v>
      </c>
      <c r="G27" s="221">
        <v>8</v>
      </c>
      <c r="H27" s="221">
        <v>8</v>
      </c>
      <c r="I27" s="221">
        <v>8</v>
      </c>
      <c r="J27" s="221">
        <v>8</v>
      </c>
      <c r="K27" s="221">
        <v>8</v>
      </c>
      <c r="L27" s="221">
        <v>8</v>
      </c>
      <c r="M27" s="221">
        <v>8</v>
      </c>
      <c r="N27" s="221">
        <v>8</v>
      </c>
      <c r="O27" s="221">
        <v>8</v>
      </c>
      <c r="P27" s="221">
        <v>8</v>
      </c>
      <c r="Q27" s="221">
        <v>8</v>
      </c>
      <c r="R27" s="221">
        <v>8</v>
      </c>
      <c r="S27" s="221">
        <v>8</v>
      </c>
      <c r="T27" s="221">
        <v>8</v>
      </c>
      <c r="U27" s="221">
        <v>8</v>
      </c>
      <c r="V27" s="221">
        <v>8</v>
      </c>
      <c r="W27" s="221">
        <v>8</v>
      </c>
      <c r="X27" s="221">
        <v>8</v>
      </c>
      <c r="Y27" s="221">
        <v>8</v>
      </c>
      <c r="Z27" s="221">
        <v>8</v>
      </c>
      <c r="AA27" s="221">
        <v>8</v>
      </c>
      <c r="AB27" s="221">
        <v>8</v>
      </c>
      <c r="AC27" s="221">
        <v>8</v>
      </c>
      <c r="AD27" s="221">
        <v>8</v>
      </c>
      <c r="AE27" s="221">
        <v>8</v>
      </c>
      <c r="AF27" s="221">
        <v>8</v>
      </c>
      <c r="AG27" s="229">
        <v>13.6</v>
      </c>
      <c r="AH27" s="226">
        <f t="shared" si="2"/>
        <v>8</v>
      </c>
      <c r="AI27" s="227">
        <f t="shared" si="3"/>
        <v>8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0</v>
      </c>
      <c r="N29" s="221">
        <v>0</v>
      </c>
      <c r="O29" s="221">
        <v>0</v>
      </c>
      <c r="P29" s="221">
        <v>0</v>
      </c>
      <c r="Q29" s="221">
        <v>4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11.5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4</v>
      </c>
      <c r="C35" s="221">
        <v>4</v>
      </c>
      <c r="D35" s="221">
        <v>4</v>
      </c>
      <c r="E35" s="221">
        <v>4</v>
      </c>
      <c r="F35" s="221">
        <v>4</v>
      </c>
      <c r="G35" s="221">
        <v>4</v>
      </c>
      <c r="H35" s="221">
        <v>4</v>
      </c>
      <c r="I35" s="221">
        <v>4</v>
      </c>
      <c r="J35" s="221">
        <v>4</v>
      </c>
      <c r="K35" s="221">
        <v>4</v>
      </c>
      <c r="L35" s="221">
        <v>4</v>
      </c>
      <c r="M35" s="221">
        <v>5</v>
      </c>
      <c r="N35" s="221">
        <v>4</v>
      </c>
      <c r="O35" s="221">
        <v>4</v>
      </c>
      <c r="P35" s="221">
        <v>4</v>
      </c>
      <c r="Q35" s="221">
        <v>4</v>
      </c>
      <c r="R35" s="221">
        <v>4</v>
      </c>
      <c r="S35" s="221">
        <v>4</v>
      </c>
      <c r="T35" s="221">
        <v>4</v>
      </c>
      <c r="U35" s="221">
        <v>4</v>
      </c>
      <c r="V35" s="221">
        <v>4</v>
      </c>
      <c r="W35" s="221">
        <v>4</v>
      </c>
      <c r="X35" s="221">
        <v>4</v>
      </c>
      <c r="Y35" s="221">
        <v>4</v>
      </c>
      <c r="Z35" s="221">
        <v>4</v>
      </c>
      <c r="AA35" s="221">
        <v>4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5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290</v>
      </c>
      <c r="AA36" s="237">
        <v>290</v>
      </c>
      <c r="AB36" s="237">
        <v>290</v>
      </c>
      <c r="AC36" s="237">
        <v>290</v>
      </c>
      <c r="AD36" s="237">
        <v>290</v>
      </c>
      <c r="AE36" s="237">
        <v>290</v>
      </c>
      <c r="AF36" s="237">
        <v>290</v>
      </c>
      <c r="AG36" s="235">
        <v>85</v>
      </c>
      <c r="AH36" s="226">
        <f t="shared" si="2"/>
        <v>290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f t="shared" ref="B37:L37" si="4">34+101.5</f>
        <v>135.5</v>
      </c>
      <c r="C37" s="239">
        <f t="shared" si="4"/>
        <v>135.5</v>
      </c>
      <c r="D37" s="239">
        <f t="shared" si="4"/>
        <v>135.5</v>
      </c>
      <c r="E37" s="239">
        <f t="shared" si="4"/>
        <v>135.5</v>
      </c>
      <c r="F37" s="239">
        <f t="shared" si="4"/>
        <v>135.5</v>
      </c>
      <c r="G37" s="239">
        <f t="shared" si="4"/>
        <v>135.5</v>
      </c>
      <c r="H37" s="239">
        <f t="shared" si="4"/>
        <v>135.5</v>
      </c>
      <c r="I37" s="239">
        <f t="shared" si="4"/>
        <v>135.5</v>
      </c>
      <c r="J37" s="239">
        <f t="shared" si="4"/>
        <v>135.5</v>
      </c>
      <c r="K37" s="239">
        <f t="shared" si="4"/>
        <v>135.5</v>
      </c>
      <c r="L37" s="239">
        <f t="shared" si="4"/>
        <v>135.5</v>
      </c>
      <c r="M37" s="237">
        <f>133.9</f>
        <v>133.9</v>
      </c>
      <c r="N37" s="237">
        <f>98.5+22.1</f>
        <v>120.6</v>
      </c>
      <c r="O37" s="237">
        <f>96.5+34</f>
        <v>130.5</v>
      </c>
      <c r="P37" s="237">
        <v>135.9</v>
      </c>
      <c r="Q37" s="237">
        <f>137.2</f>
        <v>137.19999999999999</v>
      </c>
      <c r="R37" s="237">
        <f>137.3</f>
        <v>137.30000000000001</v>
      </c>
      <c r="S37" s="239">
        <v>137.19999999999999</v>
      </c>
      <c r="T37" s="239">
        <v>136.4</v>
      </c>
      <c r="U37" s="239">
        <v>136.4</v>
      </c>
      <c r="V37" s="239">
        <v>176</v>
      </c>
      <c r="W37" s="239">
        <v>176</v>
      </c>
      <c r="X37" s="239">
        <v>176</v>
      </c>
      <c r="Y37" s="239">
        <v>176</v>
      </c>
      <c r="Z37" s="239">
        <v>176</v>
      </c>
      <c r="AA37" s="239">
        <v>176</v>
      </c>
      <c r="AB37" s="239">
        <f>99.4+75.8</f>
        <v>175.2</v>
      </c>
      <c r="AC37" s="239">
        <f>99.8+75.9</f>
        <v>175.7</v>
      </c>
      <c r="AD37" s="239">
        <f>98.9+70.7</f>
        <v>169.60000000000002</v>
      </c>
      <c r="AE37" s="239">
        <f>99.4+48</f>
        <v>147.4</v>
      </c>
      <c r="AF37" s="239">
        <f>178.2</f>
        <v>178.2</v>
      </c>
      <c r="AG37" s="235">
        <v>240</v>
      </c>
      <c r="AH37" s="226">
        <f t="shared" si="2"/>
        <v>178.2</v>
      </c>
      <c r="AI37" s="227">
        <f t="shared" si="3"/>
        <v>120.6</v>
      </c>
      <c r="AK37" s="228"/>
    </row>
    <row r="38" spans="1:88" ht="15.75" thickBot="1" x14ac:dyDescent="0.3">
      <c r="A38" s="240" t="s">
        <v>46</v>
      </c>
      <c r="B38" s="241">
        <f t="shared" ref="B38" si="5">SUM(B11:B36)</f>
        <v>756.6</v>
      </c>
      <c r="C38" s="241">
        <f t="shared" ref="C38:AG38" si="6">SUM(C11:C36)</f>
        <v>756.6</v>
      </c>
      <c r="D38" s="241">
        <f t="shared" si="6"/>
        <v>723.40000000000009</v>
      </c>
      <c r="E38" s="241">
        <f t="shared" si="6"/>
        <v>723.40000000000009</v>
      </c>
      <c r="F38" s="241">
        <f t="shared" si="6"/>
        <v>723.40000000000009</v>
      </c>
      <c r="G38" s="241">
        <f t="shared" si="6"/>
        <v>723.40000000000009</v>
      </c>
      <c r="H38" s="241">
        <f t="shared" si="6"/>
        <v>723.40000000000009</v>
      </c>
      <c r="I38" s="241">
        <f t="shared" si="6"/>
        <v>723.40000000000009</v>
      </c>
      <c r="J38" s="241">
        <f t="shared" si="6"/>
        <v>723.40000000000009</v>
      </c>
      <c r="K38" s="241">
        <f t="shared" si="6"/>
        <v>742.40000000000009</v>
      </c>
      <c r="L38" s="241">
        <f t="shared" si="6"/>
        <v>770.6</v>
      </c>
      <c r="M38" s="241">
        <f t="shared" si="6"/>
        <v>764.6</v>
      </c>
      <c r="N38" s="241">
        <f t="shared" si="6"/>
        <v>751.6</v>
      </c>
      <c r="O38" s="241">
        <f t="shared" si="6"/>
        <v>766.6</v>
      </c>
      <c r="P38" s="241">
        <f t="shared" si="6"/>
        <v>768.6</v>
      </c>
      <c r="Q38" s="241">
        <f t="shared" si="6"/>
        <v>772.6</v>
      </c>
      <c r="R38" s="241">
        <f t="shared" si="6"/>
        <v>776.6</v>
      </c>
      <c r="S38" s="241">
        <f t="shared" si="6"/>
        <v>776.6</v>
      </c>
      <c r="T38" s="241">
        <f t="shared" si="6"/>
        <v>779.3</v>
      </c>
      <c r="U38" s="241">
        <f t="shared" si="6"/>
        <v>792.8</v>
      </c>
      <c r="V38" s="241">
        <f t="shared" si="6"/>
        <v>805.3</v>
      </c>
      <c r="W38" s="241">
        <f t="shared" ref="W38" si="7">SUM(W11:W36)</f>
        <v>781.8</v>
      </c>
      <c r="X38" s="241">
        <f t="shared" si="6"/>
        <v>804.8</v>
      </c>
      <c r="Y38" s="241">
        <f t="shared" si="6"/>
        <v>804.8</v>
      </c>
      <c r="Z38" s="241">
        <f t="shared" si="6"/>
        <v>807.8</v>
      </c>
      <c r="AA38" s="241">
        <f t="shared" si="6"/>
        <v>807.8</v>
      </c>
      <c r="AB38" s="241">
        <f t="shared" si="6"/>
        <v>792.8</v>
      </c>
      <c r="AC38" s="241">
        <f t="shared" si="6"/>
        <v>802.8</v>
      </c>
      <c r="AD38" s="241">
        <f t="shared" si="6"/>
        <v>802.8</v>
      </c>
      <c r="AE38" s="241">
        <f t="shared" si="6"/>
        <v>798.8</v>
      </c>
      <c r="AF38" s="241">
        <f t="shared" si="6"/>
        <v>793.8</v>
      </c>
      <c r="AG38" s="242">
        <f t="shared" si="6"/>
        <v>665.78</v>
      </c>
      <c r="AH38" s="226">
        <f t="shared" si="2"/>
        <v>807.8</v>
      </c>
      <c r="AI38" s="227">
        <f t="shared" si="3"/>
        <v>723.40000000000009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18</v>
      </c>
      <c r="N41" s="247">
        <v>18</v>
      </c>
      <c r="O41" s="247">
        <v>18</v>
      </c>
      <c r="P41" s="247">
        <v>18</v>
      </c>
      <c r="Q41" s="247">
        <v>18</v>
      </c>
      <c r="R41" s="247">
        <v>18</v>
      </c>
      <c r="S41" s="247">
        <v>18</v>
      </c>
      <c r="T41" s="247">
        <v>0</v>
      </c>
      <c r="U41" s="247">
        <v>0</v>
      </c>
      <c r="V41" s="247">
        <v>6</v>
      </c>
      <c r="W41" s="247">
        <v>11</v>
      </c>
      <c r="X41" s="247">
        <v>11</v>
      </c>
      <c r="Y41" s="247">
        <v>14</v>
      </c>
      <c r="Z41" s="247">
        <v>14</v>
      </c>
      <c r="AA41" s="247">
        <v>14</v>
      </c>
      <c r="AB41" s="247">
        <v>14</v>
      </c>
      <c r="AC41" s="247">
        <v>14</v>
      </c>
      <c r="AD41" s="247">
        <v>14</v>
      </c>
      <c r="AE41" s="247">
        <v>14</v>
      </c>
      <c r="AF41" s="247">
        <v>14</v>
      </c>
      <c r="AG41" s="248">
        <v>22.1</v>
      </c>
      <c r="AH41" s="226">
        <f t="shared" si="2"/>
        <v>22</v>
      </c>
      <c r="AI41" s="227">
        <f t="shared" si="3"/>
        <v>0</v>
      </c>
      <c r="AK41" s="228"/>
    </row>
    <row r="42" spans="1:88" ht="15.75" thickBot="1" x14ac:dyDescent="0.3">
      <c r="A42" s="249" t="s">
        <v>50</v>
      </c>
      <c r="B42" s="241">
        <f t="shared" ref="B42" si="8">SUM(B39:B41)</f>
        <v>538</v>
      </c>
      <c r="C42" s="241">
        <f t="shared" ref="C42:AG42" si="9">SUM(C39:C41)</f>
        <v>538</v>
      </c>
      <c r="D42" s="241">
        <f t="shared" si="9"/>
        <v>538</v>
      </c>
      <c r="E42" s="241">
        <f t="shared" si="9"/>
        <v>538</v>
      </c>
      <c r="F42" s="241">
        <f t="shared" si="9"/>
        <v>538</v>
      </c>
      <c r="G42" s="241">
        <f t="shared" si="9"/>
        <v>538</v>
      </c>
      <c r="H42" s="241">
        <f t="shared" si="9"/>
        <v>538</v>
      </c>
      <c r="I42" s="241">
        <f t="shared" si="9"/>
        <v>538</v>
      </c>
      <c r="J42" s="241">
        <f t="shared" si="9"/>
        <v>538</v>
      </c>
      <c r="K42" s="241">
        <f t="shared" si="9"/>
        <v>538</v>
      </c>
      <c r="L42" s="241">
        <f t="shared" si="9"/>
        <v>538</v>
      </c>
      <c r="M42" s="241">
        <f t="shared" si="9"/>
        <v>534</v>
      </c>
      <c r="N42" s="241">
        <f t="shared" si="9"/>
        <v>534</v>
      </c>
      <c r="O42" s="241">
        <f t="shared" si="9"/>
        <v>534</v>
      </c>
      <c r="P42" s="241">
        <f t="shared" si="9"/>
        <v>534</v>
      </c>
      <c r="Q42" s="241">
        <f t="shared" si="9"/>
        <v>534</v>
      </c>
      <c r="R42" s="241">
        <f t="shared" si="9"/>
        <v>534</v>
      </c>
      <c r="S42" s="241">
        <f t="shared" si="9"/>
        <v>534</v>
      </c>
      <c r="T42" s="241">
        <f t="shared" si="9"/>
        <v>516</v>
      </c>
      <c r="U42" s="241">
        <f t="shared" si="9"/>
        <v>516</v>
      </c>
      <c r="V42" s="241">
        <f t="shared" si="9"/>
        <v>522</v>
      </c>
      <c r="W42" s="241">
        <f t="shared" si="9"/>
        <v>527</v>
      </c>
      <c r="X42" s="241">
        <f t="shared" si="9"/>
        <v>527</v>
      </c>
      <c r="Y42" s="241">
        <f t="shared" si="9"/>
        <v>530</v>
      </c>
      <c r="Z42" s="241">
        <f t="shared" si="9"/>
        <v>530</v>
      </c>
      <c r="AA42" s="241">
        <f t="shared" si="9"/>
        <v>530</v>
      </c>
      <c r="AB42" s="241">
        <f t="shared" si="9"/>
        <v>530</v>
      </c>
      <c r="AC42" s="241">
        <f t="shared" si="9"/>
        <v>530</v>
      </c>
      <c r="AD42" s="241">
        <f t="shared" si="9"/>
        <v>530</v>
      </c>
      <c r="AE42" s="241">
        <f t="shared" si="9"/>
        <v>530</v>
      </c>
      <c r="AF42" s="241">
        <f t="shared" si="9"/>
        <v>530</v>
      </c>
      <c r="AG42" s="242">
        <f t="shared" si="9"/>
        <v>538.1</v>
      </c>
      <c r="AH42" s="226">
        <f t="shared" si="2"/>
        <v>538</v>
      </c>
      <c r="AI42" s="227">
        <f t="shared" si="3"/>
        <v>516</v>
      </c>
      <c r="AK42" s="228"/>
    </row>
    <row r="43" spans="1:88" x14ac:dyDescent="0.25">
      <c r="A43" s="220" t="s">
        <v>51</v>
      </c>
      <c r="B43" s="221">
        <v>143.69999999999999</v>
      </c>
      <c r="C43" s="221">
        <v>143.69999999999999</v>
      </c>
      <c r="D43" s="221">
        <v>112.5</v>
      </c>
      <c r="E43" s="221">
        <v>112.5</v>
      </c>
      <c r="F43" s="221">
        <v>112.5</v>
      </c>
      <c r="G43" s="221">
        <v>121.3</v>
      </c>
      <c r="H43" s="221">
        <v>121.3</v>
      </c>
      <c r="I43" s="221">
        <v>121.3</v>
      </c>
      <c r="J43" s="221">
        <v>121.3</v>
      </c>
      <c r="K43" s="221">
        <v>143</v>
      </c>
      <c r="L43" s="221">
        <v>143</v>
      </c>
      <c r="M43" s="221">
        <v>142.80000000000001</v>
      </c>
      <c r="N43" s="221">
        <v>142.6</v>
      </c>
      <c r="O43" s="221">
        <v>142.6</v>
      </c>
      <c r="P43" s="221">
        <v>141.80000000000001</v>
      </c>
      <c r="Q43" s="221">
        <v>140.69999999999999</v>
      </c>
      <c r="R43" s="221">
        <v>141.69999999999999</v>
      </c>
      <c r="S43" s="221">
        <v>141.9</v>
      </c>
      <c r="T43" s="221">
        <v>142</v>
      </c>
      <c r="U43" s="221">
        <v>142</v>
      </c>
      <c r="V43" s="221">
        <v>142</v>
      </c>
      <c r="W43" s="221">
        <v>142</v>
      </c>
      <c r="X43" s="221">
        <v>142</v>
      </c>
      <c r="Y43" s="221">
        <v>142</v>
      </c>
      <c r="Z43" s="221">
        <v>142</v>
      </c>
      <c r="AA43" s="221">
        <v>142</v>
      </c>
      <c r="AB43" s="221">
        <v>94.8</v>
      </c>
      <c r="AC43" s="221">
        <v>142.80000000000001</v>
      </c>
      <c r="AD43" s="221">
        <v>142.4</v>
      </c>
      <c r="AE43" s="221">
        <v>142.4</v>
      </c>
      <c r="AF43" s="221">
        <v>142.4</v>
      </c>
      <c r="AG43" s="230">
        <v>144</v>
      </c>
      <c r="AH43" s="226">
        <f t="shared" si="2"/>
        <v>143.69999999999999</v>
      </c>
      <c r="AI43" s="227">
        <f t="shared" si="3"/>
        <v>94.8</v>
      </c>
      <c r="AK43" s="228"/>
    </row>
    <row r="44" spans="1:88" x14ac:dyDescent="0.25">
      <c r="A44" s="234" t="s">
        <v>52</v>
      </c>
      <c r="B44" s="245">
        <v>73.099999999999994</v>
      </c>
      <c r="C44" s="245">
        <v>73.099999999999994</v>
      </c>
      <c r="D44" s="245">
        <v>56.5</v>
      </c>
      <c r="E44" s="245">
        <v>56.5</v>
      </c>
      <c r="F44" s="245">
        <v>56.5</v>
      </c>
      <c r="G44" s="245">
        <v>56.8</v>
      </c>
      <c r="H44" s="245">
        <v>71.099999999999994</v>
      </c>
      <c r="I44" s="245">
        <v>71.099999999999994</v>
      </c>
      <c r="J44" s="245">
        <v>71.099999999999994</v>
      </c>
      <c r="K44" s="245">
        <v>71.099999999999994</v>
      </c>
      <c r="L44" s="245">
        <v>71.099999999999994</v>
      </c>
      <c r="M44" s="221">
        <v>71.8</v>
      </c>
      <c r="N44" s="221">
        <v>72.7</v>
      </c>
      <c r="O44" s="221">
        <v>72.7</v>
      </c>
      <c r="P44" s="221">
        <v>72.7</v>
      </c>
      <c r="Q44" s="221">
        <v>71.7</v>
      </c>
      <c r="R44" s="221">
        <v>70.900000000000006</v>
      </c>
      <c r="S44" s="245">
        <v>71.599999999999994</v>
      </c>
      <c r="T44" s="245">
        <v>72.5</v>
      </c>
      <c r="U44" s="245">
        <v>72.5</v>
      </c>
      <c r="V44" s="245">
        <v>72.5</v>
      </c>
      <c r="W44" s="245">
        <v>72.5</v>
      </c>
      <c r="X44" s="245">
        <v>72.5</v>
      </c>
      <c r="Y44" s="245">
        <v>72.5</v>
      </c>
      <c r="Z44" s="245">
        <v>72.5</v>
      </c>
      <c r="AA44" s="245">
        <v>72.5</v>
      </c>
      <c r="AB44" s="245">
        <v>73.2</v>
      </c>
      <c r="AC44" s="245">
        <v>73</v>
      </c>
      <c r="AD44" s="245">
        <v>72.599999999999994</v>
      </c>
      <c r="AE44" s="245">
        <v>72.599999999999994</v>
      </c>
      <c r="AF44" s="245">
        <v>72.599999999999994</v>
      </c>
      <c r="AG44" s="235">
        <v>70</v>
      </c>
      <c r="AH44" s="226">
        <f t="shared" si="2"/>
        <v>73.2</v>
      </c>
      <c r="AI44" s="227">
        <f t="shared" si="3"/>
        <v>56.5</v>
      </c>
      <c r="AK44" s="228"/>
    </row>
    <row r="45" spans="1:88" x14ac:dyDescent="0.25">
      <c r="A45" s="234" t="s">
        <v>53</v>
      </c>
      <c r="B45" s="245">
        <v>64.099999999999994</v>
      </c>
      <c r="C45" s="245">
        <v>64.099999999999994</v>
      </c>
      <c r="D45" s="245">
        <v>54.6</v>
      </c>
      <c r="E45" s="245">
        <v>54.6</v>
      </c>
      <c r="F45" s="245">
        <v>54.6</v>
      </c>
      <c r="G45" s="245">
        <v>65</v>
      </c>
      <c r="H45" s="245">
        <v>65</v>
      </c>
      <c r="I45" s="245">
        <v>65</v>
      </c>
      <c r="J45" s="245">
        <v>65</v>
      </c>
      <c r="K45" s="245">
        <v>65</v>
      </c>
      <c r="L45" s="245">
        <v>65</v>
      </c>
      <c r="M45" s="221">
        <v>64.599999999999994</v>
      </c>
      <c r="N45" s="221">
        <v>64.099999999999994</v>
      </c>
      <c r="O45" s="221">
        <v>64.099999999999994</v>
      </c>
      <c r="P45" s="221">
        <v>64.099999999999994</v>
      </c>
      <c r="Q45" s="221">
        <v>64.099999999999994</v>
      </c>
      <c r="R45" s="221">
        <v>63.4</v>
      </c>
      <c r="S45" s="245">
        <v>64</v>
      </c>
      <c r="T45" s="245">
        <v>64.5</v>
      </c>
      <c r="U45" s="245">
        <v>64.5</v>
      </c>
      <c r="V45" s="245">
        <v>64.5</v>
      </c>
      <c r="W45" s="245">
        <v>64.5</v>
      </c>
      <c r="X45" s="245">
        <v>64.5</v>
      </c>
      <c r="Y45" s="245">
        <v>64.5</v>
      </c>
      <c r="Z45" s="245">
        <v>64.5</v>
      </c>
      <c r="AA45" s="245">
        <v>64.5</v>
      </c>
      <c r="AB45" s="245">
        <v>54.4</v>
      </c>
      <c r="AC45" s="245">
        <v>64.5</v>
      </c>
      <c r="AD45" s="245">
        <v>64.5</v>
      </c>
      <c r="AE45" s="245">
        <v>64.5</v>
      </c>
      <c r="AF45" s="245">
        <v>64.5</v>
      </c>
      <c r="AG45" s="235">
        <v>69</v>
      </c>
      <c r="AH45" s="226">
        <f t="shared" si="2"/>
        <v>65</v>
      </c>
      <c r="AI45" s="227">
        <f t="shared" si="3"/>
        <v>54.4</v>
      </c>
      <c r="AK45" s="228"/>
    </row>
    <row r="46" spans="1:88" x14ac:dyDescent="0.25">
      <c r="A46" s="234" t="s">
        <v>54</v>
      </c>
      <c r="B46" s="237">
        <v>61.2</v>
      </c>
      <c r="C46" s="237">
        <v>0</v>
      </c>
      <c r="D46" s="237">
        <v>25.4</v>
      </c>
      <c r="E46" s="237">
        <v>40</v>
      </c>
      <c r="F46" s="237">
        <v>40.299999999999997</v>
      </c>
      <c r="G46" s="237">
        <v>40.299999999999997</v>
      </c>
      <c r="H46" s="237">
        <v>40.299999999999997</v>
      </c>
      <c r="I46" s="237">
        <v>50</v>
      </c>
      <c r="J46" s="237">
        <v>60</v>
      </c>
      <c r="K46" s="237">
        <v>60</v>
      </c>
      <c r="L46" s="237">
        <v>60</v>
      </c>
      <c r="M46" s="221">
        <v>60.7</v>
      </c>
      <c r="N46" s="221">
        <v>60.7</v>
      </c>
      <c r="O46" s="221">
        <v>60.7</v>
      </c>
      <c r="P46" s="221">
        <v>60.7</v>
      </c>
      <c r="Q46" s="221">
        <v>60.7</v>
      </c>
      <c r="R46" s="221">
        <v>60.7</v>
      </c>
      <c r="S46" s="221">
        <v>60.7</v>
      </c>
      <c r="T46" s="221">
        <v>60.7</v>
      </c>
      <c r="U46" s="221">
        <v>60.7</v>
      </c>
      <c r="V46" s="221">
        <v>60.7</v>
      </c>
      <c r="W46" s="221">
        <v>60.7</v>
      </c>
      <c r="X46" s="221">
        <v>60.7</v>
      </c>
      <c r="Y46" s="221">
        <v>60.7</v>
      </c>
      <c r="Z46" s="221">
        <v>60.7</v>
      </c>
      <c r="AA46" s="221">
        <v>60.7</v>
      </c>
      <c r="AB46" s="237">
        <v>60.7</v>
      </c>
      <c r="AC46" s="237">
        <v>60.7</v>
      </c>
      <c r="AD46" s="237">
        <v>60.7</v>
      </c>
      <c r="AE46" s="237">
        <v>60.7</v>
      </c>
      <c r="AF46" s="237">
        <v>60.7</v>
      </c>
      <c r="AG46" s="235">
        <v>60</v>
      </c>
      <c r="AH46" s="226">
        <f t="shared" si="2"/>
        <v>61.2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30</v>
      </c>
      <c r="C47" s="237">
        <v>30</v>
      </c>
      <c r="D47" s="237">
        <v>0</v>
      </c>
      <c r="E47" s="237">
        <v>0</v>
      </c>
      <c r="F47" s="237">
        <v>30</v>
      </c>
      <c r="G47" s="237">
        <v>30</v>
      </c>
      <c r="H47" s="237">
        <v>30</v>
      </c>
      <c r="I47" s="237">
        <v>30</v>
      </c>
      <c r="J47" s="237">
        <v>30</v>
      </c>
      <c r="K47" s="237">
        <v>30</v>
      </c>
      <c r="L47" s="237">
        <v>30</v>
      </c>
      <c r="M47" s="237">
        <v>30</v>
      </c>
      <c r="N47" s="221">
        <v>30</v>
      </c>
      <c r="O47" s="221">
        <v>30</v>
      </c>
      <c r="P47" s="221">
        <v>30</v>
      </c>
      <c r="Q47" s="221">
        <v>15</v>
      </c>
      <c r="R47" s="221">
        <v>15</v>
      </c>
      <c r="S47" s="221">
        <v>15</v>
      </c>
      <c r="T47" s="221">
        <v>15</v>
      </c>
      <c r="U47" s="221">
        <v>15</v>
      </c>
      <c r="V47" s="221">
        <v>15</v>
      </c>
      <c r="W47" s="221">
        <v>15</v>
      </c>
      <c r="X47" s="221">
        <v>15</v>
      </c>
      <c r="Y47" s="221">
        <v>15</v>
      </c>
      <c r="Z47" s="221">
        <v>15</v>
      </c>
      <c r="AA47" s="221">
        <v>15</v>
      </c>
      <c r="AB47" s="221">
        <v>15</v>
      </c>
      <c r="AC47" s="237">
        <v>15</v>
      </c>
      <c r="AD47" s="237">
        <v>15</v>
      </c>
      <c r="AE47" s="237">
        <v>15</v>
      </c>
      <c r="AF47" s="237">
        <v>15</v>
      </c>
      <c r="AG47" s="235">
        <v>30</v>
      </c>
      <c r="AH47" s="226">
        <f t="shared" si="2"/>
        <v>30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4</v>
      </c>
      <c r="N48" s="221">
        <v>4</v>
      </c>
      <c r="O48" s="221">
        <v>4</v>
      </c>
      <c r="P48" s="221">
        <v>4</v>
      </c>
      <c r="Q48" s="221">
        <v>4</v>
      </c>
      <c r="R48" s="221">
        <v>4</v>
      </c>
      <c r="S48" s="221">
        <v>4</v>
      </c>
      <c r="T48" s="221">
        <v>4</v>
      </c>
      <c r="U48" s="221">
        <v>4</v>
      </c>
      <c r="V48" s="221">
        <v>4</v>
      </c>
      <c r="W48" s="221">
        <v>4</v>
      </c>
      <c r="X48" s="221">
        <v>4</v>
      </c>
      <c r="Y48" s="221">
        <v>4</v>
      </c>
      <c r="Z48" s="221">
        <v>4</v>
      </c>
      <c r="AA48" s="221">
        <v>4</v>
      </c>
      <c r="AB48" s="221">
        <v>4</v>
      </c>
      <c r="AC48" s="221">
        <v>4</v>
      </c>
      <c r="AD48" s="221">
        <v>4</v>
      </c>
      <c r="AE48" s="221">
        <v>4</v>
      </c>
      <c r="AF48" s="221">
        <v>4</v>
      </c>
      <c r="AG48" s="235">
        <v>25</v>
      </c>
      <c r="AH48" s="226">
        <f t="shared" si="2"/>
        <v>4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17.3</v>
      </c>
      <c r="C49" s="245">
        <v>17.3</v>
      </c>
      <c r="D49" s="245">
        <v>17.100000000000001</v>
      </c>
      <c r="E49" s="245">
        <v>3</v>
      </c>
      <c r="F49" s="245">
        <v>3</v>
      </c>
      <c r="G49" s="245">
        <v>3</v>
      </c>
      <c r="H49" s="245">
        <v>3</v>
      </c>
      <c r="I49" s="245">
        <v>3</v>
      </c>
      <c r="J49" s="245">
        <v>3.7</v>
      </c>
      <c r="K49" s="245">
        <v>3.7</v>
      </c>
      <c r="L49" s="245">
        <v>3.7</v>
      </c>
      <c r="M49" s="245">
        <v>3.7</v>
      </c>
      <c r="N49" s="221">
        <v>11.5</v>
      </c>
      <c r="O49" s="221">
        <v>11.5</v>
      </c>
      <c r="P49" s="221">
        <v>5</v>
      </c>
      <c r="Q49" s="221">
        <v>6</v>
      </c>
      <c r="R49" s="221">
        <v>6</v>
      </c>
      <c r="S49" s="221">
        <v>6</v>
      </c>
      <c r="T49" s="221">
        <v>6</v>
      </c>
      <c r="U49" s="221">
        <v>0</v>
      </c>
      <c r="V49" s="221">
        <v>0</v>
      </c>
      <c r="W49" s="221">
        <v>6</v>
      </c>
      <c r="X49" s="221">
        <v>6</v>
      </c>
      <c r="Y49" s="221">
        <v>6</v>
      </c>
      <c r="Z49" s="221">
        <v>6</v>
      </c>
      <c r="AA49" s="221">
        <v>6</v>
      </c>
      <c r="AB49" s="221">
        <v>6</v>
      </c>
      <c r="AC49" s="221">
        <v>6</v>
      </c>
      <c r="AD49" s="221">
        <v>6</v>
      </c>
      <c r="AE49" s="221">
        <v>6</v>
      </c>
      <c r="AF49" s="221">
        <v>6</v>
      </c>
      <c r="AG49" s="235">
        <v>24</v>
      </c>
      <c r="AH49" s="226">
        <f t="shared" si="2"/>
        <v>17.3</v>
      </c>
      <c r="AI49" s="227">
        <f t="shared" si="3"/>
        <v>0</v>
      </c>
      <c r="AK49" s="228"/>
    </row>
    <row r="50" spans="1:41" x14ac:dyDescent="0.25">
      <c r="A50" s="234" t="s">
        <v>58</v>
      </c>
      <c r="B50" s="245">
        <v>2.8</v>
      </c>
      <c r="C50" s="245">
        <v>2.8</v>
      </c>
      <c r="D50" s="245">
        <v>2.8</v>
      </c>
      <c r="E50" s="245">
        <v>2.8</v>
      </c>
      <c r="F50" s="245">
        <v>2.8</v>
      </c>
      <c r="G50" s="245">
        <v>2.8</v>
      </c>
      <c r="H50" s="245">
        <v>2.8</v>
      </c>
      <c r="I50" s="245">
        <v>2.8</v>
      </c>
      <c r="J50" s="245">
        <v>2.8</v>
      </c>
      <c r="K50" s="245">
        <v>2.8</v>
      </c>
      <c r="L50" s="245">
        <v>2.8</v>
      </c>
      <c r="M50" s="245">
        <v>2.8</v>
      </c>
      <c r="N50" s="245">
        <v>2.8</v>
      </c>
      <c r="O50" s="245">
        <v>2.8</v>
      </c>
      <c r="P50" s="245">
        <v>2.8</v>
      </c>
      <c r="Q50" s="245">
        <v>0</v>
      </c>
      <c r="R50" s="245">
        <v>0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0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13.2</v>
      </c>
      <c r="C51" s="245">
        <v>13.2</v>
      </c>
      <c r="D51" s="245">
        <v>12.6</v>
      </c>
      <c r="E51" s="245">
        <v>12.6</v>
      </c>
      <c r="F51" s="245">
        <v>0</v>
      </c>
      <c r="G51" s="245">
        <v>0</v>
      </c>
      <c r="H51" s="245">
        <v>0</v>
      </c>
      <c r="I51" s="245">
        <v>0</v>
      </c>
      <c r="J51" s="245">
        <v>3.5</v>
      </c>
      <c r="K51" s="245">
        <v>3.5</v>
      </c>
      <c r="L51" s="245">
        <v>3.5</v>
      </c>
      <c r="M51" s="245">
        <v>3.5</v>
      </c>
      <c r="N51" s="245">
        <v>3.5</v>
      </c>
      <c r="O51" s="245">
        <v>3.5</v>
      </c>
      <c r="P51" s="245">
        <v>3.5</v>
      </c>
      <c r="Q51" s="245">
        <v>3.5</v>
      </c>
      <c r="R51" s="245">
        <v>3.5</v>
      </c>
      <c r="S51" s="221">
        <v>3.5</v>
      </c>
      <c r="T51" s="221">
        <v>3.5</v>
      </c>
      <c r="U51" s="221">
        <v>0</v>
      </c>
      <c r="V51" s="221">
        <v>0</v>
      </c>
      <c r="W51" s="221">
        <v>9</v>
      </c>
      <c r="X51" s="221">
        <v>9</v>
      </c>
      <c r="Y51" s="221">
        <v>6</v>
      </c>
      <c r="Z51" s="221">
        <v>6</v>
      </c>
      <c r="AA51" s="221">
        <v>6</v>
      </c>
      <c r="AB51" s="221">
        <v>6</v>
      </c>
      <c r="AC51" s="221">
        <v>6</v>
      </c>
      <c r="AD51" s="221">
        <v>6</v>
      </c>
      <c r="AE51" s="221">
        <v>6</v>
      </c>
      <c r="AF51" s="221">
        <v>6</v>
      </c>
      <c r="AG51" s="235">
        <v>14.1</v>
      </c>
      <c r="AH51" s="226">
        <f t="shared" si="2"/>
        <v>13.2</v>
      </c>
      <c r="AI51" s="227">
        <f t="shared" si="3"/>
        <v>0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14.2</v>
      </c>
      <c r="C52" s="245">
        <v>14.2</v>
      </c>
      <c r="D52" s="245">
        <v>14.1</v>
      </c>
      <c r="E52" s="245">
        <v>14.1</v>
      </c>
      <c r="F52" s="245">
        <v>14.1</v>
      </c>
      <c r="G52" s="245">
        <v>7</v>
      </c>
      <c r="H52" s="245">
        <v>2</v>
      </c>
      <c r="I52" s="245">
        <v>2</v>
      </c>
      <c r="J52" s="245">
        <v>14</v>
      </c>
      <c r="K52" s="245">
        <v>14</v>
      </c>
      <c r="L52" s="245">
        <v>14</v>
      </c>
      <c r="M52" s="245">
        <v>14</v>
      </c>
      <c r="N52" s="245">
        <v>14</v>
      </c>
      <c r="O52" s="245">
        <v>14</v>
      </c>
      <c r="P52" s="245">
        <v>14</v>
      </c>
      <c r="Q52" s="245">
        <v>14</v>
      </c>
      <c r="R52" s="245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14.2</v>
      </c>
      <c r="AI52" s="227">
        <f t="shared" si="3"/>
        <v>2</v>
      </c>
      <c r="AK52" s="228"/>
    </row>
    <row r="53" spans="1:41" x14ac:dyDescent="0.25">
      <c r="A53" s="234" t="s">
        <v>61</v>
      </c>
      <c r="B53" s="245">
        <v>9.3000000000000007</v>
      </c>
      <c r="C53" s="245">
        <v>9.3000000000000007</v>
      </c>
      <c r="D53" s="245">
        <v>9.3000000000000007</v>
      </c>
      <c r="E53" s="245">
        <v>9.3000000000000007</v>
      </c>
      <c r="F53" s="245">
        <v>9.3000000000000007</v>
      </c>
      <c r="G53" s="245">
        <v>9.3000000000000007</v>
      </c>
      <c r="H53" s="245">
        <v>9.3000000000000007</v>
      </c>
      <c r="I53" s="245">
        <v>9.3000000000000007</v>
      </c>
      <c r="J53" s="245">
        <v>9.3000000000000007</v>
      </c>
      <c r="K53" s="245">
        <v>9.3000000000000007</v>
      </c>
      <c r="L53" s="245">
        <v>9.3000000000000007</v>
      </c>
      <c r="M53" s="245">
        <v>9.3000000000000007</v>
      </c>
      <c r="N53" s="245">
        <v>9.3000000000000007</v>
      </c>
      <c r="O53" s="245">
        <v>9.3000000000000007</v>
      </c>
      <c r="P53" s="245">
        <v>0</v>
      </c>
      <c r="Q53" s="245">
        <v>0</v>
      </c>
      <c r="R53" s="245">
        <v>0</v>
      </c>
      <c r="S53" s="221">
        <v>0</v>
      </c>
      <c r="T53" s="221"/>
      <c r="U53" s="221">
        <v>0</v>
      </c>
      <c r="V53" s="221">
        <v>0</v>
      </c>
      <c r="W53" s="221">
        <v>0</v>
      </c>
      <c r="X53" s="221">
        <v>0</v>
      </c>
      <c r="Y53" s="221">
        <v>0</v>
      </c>
      <c r="Z53" s="221">
        <v>0</v>
      </c>
      <c r="AA53" s="221">
        <v>0</v>
      </c>
      <c r="AB53" s="221">
        <v>9.5</v>
      </c>
      <c r="AC53" s="221">
        <v>9.5</v>
      </c>
      <c r="AD53" s="221">
        <v>9.5</v>
      </c>
      <c r="AE53" s="221">
        <v>9.5</v>
      </c>
      <c r="AF53" s="221">
        <v>9.5</v>
      </c>
      <c r="AG53" s="235">
        <v>10.050000000000001</v>
      </c>
      <c r="AH53" s="226">
        <f t="shared" si="2"/>
        <v>9.5</v>
      </c>
      <c r="AI53" s="227">
        <f t="shared" si="3"/>
        <v>0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 t="shared" ref="B56" si="10">SUM(B43:B55)</f>
        <v>438.64</v>
      </c>
      <c r="C56" s="241">
        <f t="shared" ref="C56:AG56" si="11">SUM(C43:C55)</f>
        <v>377.44</v>
      </c>
      <c r="D56" s="241">
        <f t="shared" si="11"/>
        <v>314.6400000000001</v>
      </c>
      <c r="E56" s="241">
        <f t="shared" si="11"/>
        <v>315.1400000000001</v>
      </c>
      <c r="F56" s="241">
        <f t="shared" si="11"/>
        <v>332.84000000000003</v>
      </c>
      <c r="G56" s="241">
        <f t="shared" si="11"/>
        <v>345.24</v>
      </c>
      <c r="H56" s="241">
        <f t="shared" si="11"/>
        <v>354.54</v>
      </c>
      <c r="I56" s="241">
        <f t="shared" si="11"/>
        <v>364.24</v>
      </c>
      <c r="J56" s="241">
        <f t="shared" si="11"/>
        <v>390.44</v>
      </c>
      <c r="K56" s="241">
        <f t="shared" si="11"/>
        <v>412.14000000000004</v>
      </c>
      <c r="L56" s="241">
        <f t="shared" si="11"/>
        <v>412.14000000000004</v>
      </c>
      <c r="M56" s="241">
        <f t="shared" si="11"/>
        <v>416.94000000000005</v>
      </c>
      <c r="N56" s="241">
        <f t="shared" si="11"/>
        <v>424.94</v>
      </c>
      <c r="O56" s="241">
        <f t="shared" si="11"/>
        <v>424.94</v>
      </c>
      <c r="P56" s="241">
        <f t="shared" si="11"/>
        <v>408.34000000000003</v>
      </c>
      <c r="Q56" s="241">
        <f t="shared" ref="Q56" si="12">SUM(Q43:Q55)</f>
        <v>389.44</v>
      </c>
      <c r="R56" s="241">
        <f t="shared" si="11"/>
        <v>388.94</v>
      </c>
      <c r="S56" s="241">
        <f t="shared" si="11"/>
        <v>393.44</v>
      </c>
      <c r="T56" s="241">
        <f t="shared" si="11"/>
        <v>394.94</v>
      </c>
      <c r="U56" s="241">
        <f t="shared" si="11"/>
        <v>385.44</v>
      </c>
      <c r="V56" s="241">
        <f t="shared" si="11"/>
        <v>385.44</v>
      </c>
      <c r="W56" s="241">
        <f t="shared" si="11"/>
        <v>400.44</v>
      </c>
      <c r="X56" s="241">
        <f t="shared" si="11"/>
        <v>400.44</v>
      </c>
      <c r="Y56" s="241">
        <f t="shared" si="11"/>
        <v>397.44</v>
      </c>
      <c r="Z56" s="241">
        <f t="shared" si="11"/>
        <v>397.44</v>
      </c>
      <c r="AA56" s="241">
        <f t="shared" si="11"/>
        <v>397.44</v>
      </c>
      <c r="AB56" s="241">
        <f t="shared" si="11"/>
        <v>350.34000000000003</v>
      </c>
      <c r="AC56" s="241">
        <f t="shared" si="11"/>
        <v>408.24</v>
      </c>
      <c r="AD56" s="241">
        <f t="shared" si="11"/>
        <v>407.44</v>
      </c>
      <c r="AE56" s="241">
        <f t="shared" si="11"/>
        <v>407.44</v>
      </c>
      <c r="AF56" s="241">
        <f t="shared" si="11"/>
        <v>407.44</v>
      </c>
      <c r="AG56" s="242">
        <f t="shared" si="11"/>
        <v>489.91</v>
      </c>
      <c r="AH56" s="226">
        <f t="shared" si="2"/>
        <v>438.64</v>
      </c>
      <c r="AI56" s="227">
        <f t="shared" si="3"/>
        <v>314.6400000000001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14.5</v>
      </c>
      <c r="N57" s="221">
        <v>10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30.5</v>
      </c>
      <c r="U57" s="221">
        <v>0</v>
      </c>
      <c r="V57" s="221">
        <v>0</v>
      </c>
      <c r="W57" s="221">
        <v>15</v>
      </c>
      <c r="X57" s="221">
        <v>10</v>
      </c>
      <c r="Y57" s="221">
        <v>30</v>
      </c>
      <c r="Z57" s="221">
        <v>43</v>
      </c>
      <c r="AA57" s="221">
        <v>14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43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8.9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5.2</v>
      </c>
      <c r="N58" s="245">
        <v>3.4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15.5</v>
      </c>
      <c r="U58" s="245">
        <v>0</v>
      </c>
      <c r="V58" s="245">
        <v>0</v>
      </c>
      <c r="W58" s="245">
        <v>6</v>
      </c>
      <c r="X58" s="245">
        <v>4</v>
      </c>
      <c r="Y58" s="245">
        <v>3.6</v>
      </c>
      <c r="Z58" s="245">
        <v>13.8</v>
      </c>
      <c r="AA58" s="245">
        <v>11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15.5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3.3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1.9</v>
      </c>
      <c r="N59" s="247">
        <v>1.2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5.7</v>
      </c>
      <c r="U59" s="247">
        <v>0</v>
      </c>
      <c r="V59" s="247">
        <v>0</v>
      </c>
      <c r="W59" s="247">
        <v>3</v>
      </c>
      <c r="X59" s="247">
        <v>1.5</v>
      </c>
      <c r="Y59" s="247">
        <v>1.3</v>
      </c>
      <c r="Z59" s="247">
        <v>5.0999999999999996</v>
      </c>
      <c r="AA59" s="247">
        <v>4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5.7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 t="shared" ref="B60" si="13">SUM(B57:B59)</f>
        <v>0</v>
      </c>
      <c r="C60" s="241">
        <f t="shared" ref="C60:AG60" si="14">SUM(C57:C59)</f>
        <v>12.2</v>
      </c>
      <c r="D60" s="241">
        <f t="shared" si="14"/>
        <v>0</v>
      </c>
      <c r="E60" s="241">
        <f t="shared" si="14"/>
        <v>0</v>
      </c>
      <c r="F60" s="241">
        <f t="shared" si="14"/>
        <v>0</v>
      </c>
      <c r="G60" s="241">
        <f t="shared" si="14"/>
        <v>0</v>
      </c>
      <c r="H60" s="241">
        <f t="shared" si="14"/>
        <v>0</v>
      </c>
      <c r="I60" s="241">
        <f t="shared" si="14"/>
        <v>0</v>
      </c>
      <c r="J60" s="241">
        <f t="shared" si="14"/>
        <v>0</v>
      </c>
      <c r="K60" s="241">
        <f t="shared" si="14"/>
        <v>0</v>
      </c>
      <c r="L60" s="241">
        <f t="shared" si="14"/>
        <v>0</v>
      </c>
      <c r="M60" s="241">
        <f t="shared" si="14"/>
        <v>21.599999999999998</v>
      </c>
      <c r="N60" s="241">
        <f t="shared" si="14"/>
        <v>14.6</v>
      </c>
      <c r="O60" s="241">
        <f t="shared" si="14"/>
        <v>0</v>
      </c>
      <c r="P60" s="241">
        <f t="shared" si="14"/>
        <v>0</v>
      </c>
      <c r="Q60" s="241">
        <f t="shared" si="14"/>
        <v>0</v>
      </c>
      <c r="R60" s="241">
        <f t="shared" si="14"/>
        <v>0</v>
      </c>
      <c r="S60" s="241">
        <f t="shared" si="14"/>
        <v>0</v>
      </c>
      <c r="T60" s="241">
        <f t="shared" si="14"/>
        <v>51.7</v>
      </c>
      <c r="U60" s="241">
        <f t="shared" si="14"/>
        <v>0</v>
      </c>
      <c r="V60" s="241">
        <f t="shared" si="14"/>
        <v>0</v>
      </c>
      <c r="W60" s="241">
        <f t="shared" si="14"/>
        <v>24</v>
      </c>
      <c r="X60" s="241">
        <f t="shared" si="14"/>
        <v>15.5</v>
      </c>
      <c r="Y60" s="241">
        <f t="shared" si="14"/>
        <v>34.9</v>
      </c>
      <c r="Z60" s="241">
        <f t="shared" si="14"/>
        <v>61.9</v>
      </c>
      <c r="AA60" s="241">
        <f t="shared" si="14"/>
        <v>29</v>
      </c>
      <c r="AB60" s="241">
        <f t="shared" si="14"/>
        <v>0</v>
      </c>
      <c r="AC60" s="241">
        <f t="shared" si="14"/>
        <v>0</v>
      </c>
      <c r="AD60" s="241">
        <f t="shared" si="14"/>
        <v>0</v>
      </c>
      <c r="AE60" s="241">
        <f t="shared" si="14"/>
        <v>0</v>
      </c>
      <c r="AF60" s="241">
        <f t="shared" si="14"/>
        <v>0</v>
      </c>
      <c r="AG60" s="242">
        <f t="shared" si="14"/>
        <v>106</v>
      </c>
      <c r="AH60" s="226">
        <f t="shared" si="2"/>
        <v>61.9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70</v>
      </c>
      <c r="F61" s="221">
        <v>64.16</v>
      </c>
      <c r="G61" s="221">
        <v>70.900000000000006</v>
      </c>
      <c r="H61" s="221">
        <v>61.26</v>
      </c>
      <c r="I61" s="221">
        <v>65</v>
      </c>
      <c r="J61" s="221">
        <v>50</v>
      </c>
      <c r="K61" s="221">
        <v>45</v>
      </c>
      <c r="L61" s="221">
        <v>38.47</v>
      </c>
      <c r="M61" s="221">
        <v>42.24</v>
      </c>
      <c r="N61" s="221">
        <v>54.73</v>
      </c>
      <c r="O61" s="221">
        <v>20.2</v>
      </c>
      <c r="P61" s="221">
        <v>11.88</v>
      </c>
      <c r="Q61" s="221">
        <v>37.61</v>
      </c>
      <c r="R61" s="221">
        <v>28.15</v>
      </c>
      <c r="S61" s="221">
        <v>27.9</v>
      </c>
      <c r="T61" s="221">
        <v>25.29</v>
      </c>
      <c r="U61" s="221">
        <v>35</v>
      </c>
      <c r="V61" s="221">
        <v>37</v>
      </c>
      <c r="W61" s="221">
        <v>28</v>
      </c>
      <c r="X61" s="221">
        <v>34</v>
      </c>
      <c r="Y61" s="221">
        <v>30</v>
      </c>
      <c r="Z61" s="221">
        <v>44</v>
      </c>
      <c r="AA61" s="221">
        <v>60</v>
      </c>
      <c r="AB61" s="221">
        <v>48.79</v>
      </c>
      <c r="AC61" s="221">
        <v>51.22</v>
      </c>
      <c r="AD61" s="221">
        <v>51.92</v>
      </c>
      <c r="AE61" s="221">
        <v>47.21</v>
      </c>
      <c r="AF61" s="221">
        <v>33.5</v>
      </c>
      <c r="AG61" s="230"/>
      <c r="AH61" s="226">
        <f t="shared" si="2"/>
        <v>70.900000000000006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-372</v>
      </c>
      <c r="C63" s="245">
        <v>-404</v>
      </c>
      <c r="D63" s="245">
        <v>-384</v>
      </c>
      <c r="E63" s="245">
        <v>-394</v>
      </c>
      <c r="F63" s="245">
        <v>-368</v>
      </c>
      <c r="G63" s="245">
        <v>-347</v>
      </c>
      <c r="H63" s="245">
        <v>-369</v>
      </c>
      <c r="I63" s="245">
        <v>-370</v>
      </c>
      <c r="J63" s="245">
        <v>-400</v>
      </c>
      <c r="K63" s="245">
        <v>-360</v>
      </c>
      <c r="L63" s="245">
        <v>-358</v>
      </c>
      <c r="M63" s="245">
        <v>-364.5</v>
      </c>
      <c r="N63" s="245">
        <v>-370.2</v>
      </c>
      <c r="O63" s="245">
        <v>-325.2</v>
      </c>
      <c r="P63" s="245">
        <v>-335.9</v>
      </c>
      <c r="Q63" s="245">
        <v>-334.6</v>
      </c>
      <c r="R63" s="245">
        <v>-321.60000000000002</v>
      </c>
      <c r="S63" s="245">
        <v>-326.5</v>
      </c>
      <c r="T63" s="245">
        <v>-330.4</v>
      </c>
      <c r="U63" s="245">
        <v>-309</v>
      </c>
      <c r="V63" s="245">
        <v>-309</v>
      </c>
      <c r="W63" s="245">
        <v>-370</v>
      </c>
      <c r="X63" s="245">
        <v>-398</v>
      </c>
      <c r="Y63" s="245">
        <v>-285</v>
      </c>
      <c r="Z63" s="245">
        <v>-250</v>
      </c>
      <c r="AA63" s="245">
        <v>-246</v>
      </c>
      <c r="AB63" s="245">
        <v>-234</v>
      </c>
      <c r="AC63" s="245">
        <v>-280.8</v>
      </c>
      <c r="AD63" s="245">
        <v>-294.89999999999998</v>
      </c>
      <c r="AE63" s="245">
        <v>-320.2</v>
      </c>
      <c r="AF63" s="245">
        <v>-362</v>
      </c>
      <c r="AG63" s="255"/>
      <c r="AH63" s="226">
        <f t="shared" si="2"/>
        <v>-234</v>
      </c>
      <c r="AI63" s="227">
        <f t="shared" si="3"/>
        <v>-404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6</v>
      </c>
      <c r="C66" s="257">
        <v>6</v>
      </c>
      <c r="D66" s="257">
        <v>6</v>
      </c>
      <c r="E66" s="257">
        <v>6</v>
      </c>
      <c r="F66" s="257">
        <v>6</v>
      </c>
      <c r="G66" s="257">
        <v>6</v>
      </c>
      <c r="H66" s="257">
        <v>6</v>
      </c>
      <c r="I66" s="257">
        <v>6</v>
      </c>
      <c r="J66" s="257">
        <v>6</v>
      </c>
      <c r="K66" s="257">
        <v>6</v>
      </c>
      <c r="L66" s="257">
        <v>6</v>
      </c>
      <c r="M66" s="257">
        <v>6</v>
      </c>
      <c r="N66" s="257">
        <v>6</v>
      </c>
      <c r="O66" s="257">
        <v>6</v>
      </c>
      <c r="P66" s="257">
        <v>6</v>
      </c>
      <c r="Q66" s="257">
        <v>6</v>
      </c>
      <c r="R66" s="257">
        <v>6</v>
      </c>
      <c r="S66" s="257">
        <v>6</v>
      </c>
      <c r="T66" s="257">
        <v>6</v>
      </c>
      <c r="U66" s="257">
        <v>6</v>
      </c>
      <c r="V66" s="257">
        <v>6</v>
      </c>
      <c r="W66" s="257">
        <v>6</v>
      </c>
      <c r="X66" s="257">
        <v>6</v>
      </c>
      <c r="Y66" s="257">
        <v>6</v>
      </c>
      <c r="Z66" s="257">
        <v>6</v>
      </c>
      <c r="AA66" s="257">
        <v>6</v>
      </c>
      <c r="AB66" s="257">
        <v>6</v>
      </c>
      <c r="AC66" s="257">
        <v>6</v>
      </c>
      <c r="AD66" s="257">
        <v>6</v>
      </c>
      <c r="AE66" s="257">
        <v>6</v>
      </c>
      <c r="AF66" s="257">
        <v>6</v>
      </c>
      <c r="AG66" s="255"/>
      <c r="AH66" s="226">
        <f t="shared" si="2"/>
        <v>6</v>
      </c>
      <c r="AI66" s="227">
        <f t="shared" si="3"/>
        <v>6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 t="shared" ref="B72" si="15">SUMIF(B61:B71,"&gt;0")</f>
        <v>6</v>
      </c>
      <c r="C72" s="241">
        <f t="shared" ref="C72:L72" si="16">SUMIF(C61:C71,"&gt;0")</f>
        <v>6</v>
      </c>
      <c r="D72" s="241">
        <f t="shared" si="16"/>
        <v>6</v>
      </c>
      <c r="E72" s="241">
        <f t="shared" si="16"/>
        <v>76</v>
      </c>
      <c r="F72" s="241">
        <f t="shared" si="16"/>
        <v>70.16</v>
      </c>
      <c r="G72" s="241">
        <f t="shared" si="16"/>
        <v>76.900000000000006</v>
      </c>
      <c r="H72" s="241">
        <f t="shared" si="16"/>
        <v>67.259999999999991</v>
      </c>
      <c r="I72" s="241">
        <f t="shared" si="16"/>
        <v>71</v>
      </c>
      <c r="J72" s="241">
        <f t="shared" si="16"/>
        <v>56</v>
      </c>
      <c r="K72" s="241">
        <f t="shared" si="16"/>
        <v>51</v>
      </c>
      <c r="L72" s="241">
        <f t="shared" si="16"/>
        <v>44.47</v>
      </c>
      <c r="M72" s="241">
        <f>SUMIF(M61:M71,"&gt;0")</f>
        <v>48.24</v>
      </c>
      <c r="N72" s="241">
        <f t="shared" ref="N72:AF72" si="17">SUMIF(N61:N71,"&gt;0")</f>
        <v>60.73</v>
      </c>
      <c r="O72" s="241">
        <f t="shared" si="17"/>
        <v>26.2</v>
      </c>
      <c r="P72" s="241">
        <f t="shared" si="17"/>
        <v>17.880000000000003</v>
      </c>
      <c r="Q72" s="241">
        <f t="shared" si="17"/>
        <v>43.61</v>
      </c>
      <c r="R72" s="241">
        <f t="shared" si="17"/>
        <v>34.15</v>
      </c>
      <c r="S72" s="241">
        <f t="shared" si="17"/>
        <v>33.9</v>
      </c>
      <c r="T72" s="241">
        <f t="shared" si="17"/>
        <v>31.29</v>
      </c>
      <c r="U72" s="241">
        <f t="shared" si="17"/>
        <v>41</v>
      </c>
      <c r="V72" s="241">
        <f t="shared" si="17"/>
        <v>43</v>
      </c>
      <c r="W72" s="241">
        <f t="shared" si="17"/>
        <v>34</v>
      </c>
      <c r="X72" s="241">
        <f t="shared" si="17"/>
        <v>40</v>
      </c>
      <c r="Y72" s="241">
        <f t="shared" si="17"/>
        <v>36</v>
      </c>
      <c r="Z72" s="241">
        <f t="shared" si="17"/>
        <v>50</v>
      </c>
      <c r="AA72" s="241">
        <f t="shared" si="17"/>
        <v>66</v>
      </c>
      <c r="AB72" s="241">
        <f t="shared" si="17"/>
        <v>54.79</v>
      </c>
      <c r="AC72" s="241">
        <f t="shared" si="17"/>
        <v>57.22</v>
      </c>
      <c r="AD72" s="241">
        <f t="shared" si="17"/>
        <v>57.92</v>
      </c>
      <c r="AE72" s="241">
        <f t="shared" si="17"/>
        <v>53.21</v>
      </c>
      <c r="AF72" s="241">
        <f t="shared" si="17"/>
        <v>39.5</v>
      </c>
      <c r="AG72" s="261">
        <f>SUM(AG61:AG71)</f>
        <v>0</v>
      </c>
      <c r="AH72" s="226">
        <f t="shared" si="2"/>
        <v>76.900000000000006</v>
      </c>
      <c r="AI72" s="227">
        <f t="shared" si="3"/>
        <v>6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2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2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 t="shared" ref="B77" si="18">B38+B42+B60+B56+B72+B76</f>
        <v>1741.2399999999998</v>
      </c>
      <c r="C77" s="263">
        <f t="shared" ref="C77:AF77" si="19">C38+C42+C60+C56+C72+C76</f>
        <v>1690.24</v>
      </c>
      <c r="D77" s="263">
        <f t="shared" si="19"/>
        <v>1582.0400000000002</v>
      </c>
      <c r="E77" s="263">
        <f t="shared" si="19"/>
        <v>1652.5400000000002</v>
      </c>
      <c r="F77" s="263">
        <f t="shared" si="19"/>
        <v>1664.4000000000003</v>
      </c>
      <c r="G77" s="263">
        <f t="shared" si="19"/>
        <v>1683.5400000000002</v>
      </c>
      <c r="H77" s="263">
        <f t="shared" si="19"/>
        <v>1683.2</v>
      </c>
      <c r="I77" s="263">
        <f t="shared" si="19"/>
        <v>1696.64</v>
      </c>
      <c r="J77" s="263">
        <f t="shared" si="19"/>
        <v>1707.8400000000001</v>
      </c>
      <c r="K77" s="263">
        <f t="shared" si="19"/>
        <v>1743.5400000000002</v>
      </c>
      <c r="L77" s="263">
        <f t="shared" si="19"/>
        <v>1765.21</v>
      </c>
      <c r="M77" s="263">
        <f t="shared" si="19"/>
        <v>1785.3799999999999</v>
      </c>
      <c r="N77" s="263">
        <f t="shared" si="19"/>
        <v>1785.87</v>
      </c>
      <c r="O77" s="263">
        <f t="shared" si="19"/>
        <v>1751.74</v>
      </c>
      <c r="P77" s="263">
        <f t="shared" si="19"/>
        <v>1728.8200000000002</v>
      </c>
      <c r="Q77" s="263">
        <f t="shared" si="19"/>
        <v>1739.6499999999999</v>
      </c>
      <c r="R77" s="263">
        <f t="shared" si="19"/>
        <v>1733.69</v>
      </c>
      <c r="S77" s="263">
        <f t="shared" si="19"/>
        <v>1737.94</v>
      </c>
      <c r="T77" s="263">
        <f t="shared" si="19"/>
        <v>1773.23</v>
      </c>
      <c r="U77" s="263">
        <f t="shared" si="19"/>
        <v>1735.24</v>
      </c>
      <c r="V77" s="263">
        <f t="shared" si="19"/>
        <v>1755.74</v>
      </c>
      <c r="W77" s="263">
        <f t="shared" si="19"/>
        <v>1767.24</v>
      </c>
      <c r="X77" s="263">
        <f t="shared" si="19"/>
        <v>1787.74</v>
      </c>
      <c r="Y77" s="263">
        <f t="shared" si="19"/>
        <v>1803.14</v>
      </c>
      <c r="Z77" s="263">
        <f t="shared" si="19"/>
        <v>1847.14</v>
      </c>
      <c r="AA77" s="263">
        <f t="shared" si="19"/>
        <v>1830.24</v>
      </c>
      <c r="AB77" s="263">
        <f t="shared" si="19"/>
        <v>1727.9299999999998</v>
      </c>
      <c r="AC77" s="263">
        <f t="shared" si="19"/>
        <v>1798.26</v>
      </c>
      <c r="AD77" s="263">
        <f t="shared" si="19"/>
        <v>1798.16</v>
      </c>
      <c r="AE77" s="263">
        <f t="shared" si="19"/>
        <v>1789.45</v>
      </c>
      <c r="AF77" s="263">
        <f t="shared" si="19"/>
        <v>1770.74</v>
      </c>
      <c r="AG77" s="242">
        <f>AG38+AG42+AG60+AG56+AG72+AG76</f>
        <v>1855.1900000000003</v>
      </c>
      <c r="AH77" s="226">
        <f t="shared" si="2"/>
        <v>1847.14</v>
      </c>
      <c r="AI77" s="227">
        <f t="shared" si="3"/>
        <v>1582.0400000000002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>
        <v>10</v>
      </c>
      <c r="U78" s="265"/>
      <c r="V78" s="265"/>
      <c r="W78" s="265"/>
      <c r="X78" s="265"/>
      <c r="Y78" s="265"/>
      <c r="Z78" s="265"/>
      <c r="AA78" s="265"/>
      <c r="AB78" s="265">
        <v>10</v>
      </c>
      <c r="AC78" s="265"/>
      <c r="AD78" s="265"/>
      <c r="AE78" s="265"/>
      <c r="AF78" s="265"/>
      <c r="AG78" s="261"/>
      <c r="AH78" s="226">
        <f t="shared" si="2"/>
        <v>10</v>
      </c>
      <c r="AI78" s="227">
        <f t="shared" si="3"/>
        <v>10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 t="shared" ref="B79" si="20">B77+B78</f>
        <v>1741.2399999999998</v>
      </c>
      <c r="C79" s="263">
        <f t="shared" ref="C79:AF79" si="21">C77+C78</f>
        <v>1690.24</v>
      </c>
      <c r="D79" s="263">
        <f t="shared" si="21"/>
        <v>1582.0400000000002</v>
      </c>
      <c r="E79" s="263">
        <f t="shared" si="21"/>
        <v>1652.5400000000002</v>
      </c>
      <c r="F79" s="263">
        <f t="shared" si="21"/>
        <v>1664.4000000000003</v>
      </c>
      <c r="G79" s="263">
        <f t="shared" si="21"/>
        <v>1683.5400000000002</v>
      </c>
      <c r="H79" s="263">
        <f t="shared" si="21"/>
        <v>1683.2</v>
      </c>
      <c r="I79" s="263">
        <f t="shared" si="21"/>
        <v>1696.64</v>
      </c>
      <c r="J79" s="263">
        <f t="shared" si="21"/>
        <v>1707.8400000000001</v>
      </c>
      <c r="K79" s="263">
        <f t="shared" si="21"/>
        <v>1743.5400000000002</v>
      </c>
      <c r="L79" s="263">
        <f t="shared" si="21"/>
        <v>1765.21</v>
      </c>
      <c r="M79" s="263">
        <f t="shared" si="21"/>
        <v>1785.3799999999999</v>
      </c>
      <c r="N79" s="263">
        <f t="shared" si="21"/>
        <v>1785.87</v>
      </c>
      <c r="O79" s="263">
        <f t="shared" si="21"/>
        <v>1751.74</v>
      </c>
      <c r="P79" s="263">
        <f t="shared" si="21"/>
        <v>1728.8200000000002</v>
      </c>
      <c r="Q79" s="263">
        <f t="shared" si="21"/>
        <v>1739.6499999999999</v>
      </c>
      <c r="R79" s="263">
        <f t="shared" si="21"/>
        <v>1733.69</v>
      </c>
      <c r="S79" s="263">
        <f t="shared" si="21"/>
        <v>1737.94</v>
      </c>
      <c r="T79" s="263">
        <f t="shared" si="21"/>
        <v>1783.23</v>
      </c>
      <c r="U79" s="263">
        <f t="shared" si="21"/>
        <v>1735.24</v>
      </c>
      <c r="V79" s="263">
        <f t="shared" si="21"/>
        <v>1755.74</v>
      </c>
      <c r="W79" s="263">
        <f t="shared" si="21"/>
        <v>1767.24</v>
      </c>
      <c r="X79" s="263">
        <f t="shared" si="21"/>
        <v>1787.74</v>
      </c>
      <c r="Y79" s="263">
        <f t="shared" si="21"/>
        <v>1803.14</v>
      </c>
      <c r="Z79" s="263">
        <f t="shared" si="21"/>
        <v>1847.14</v>
      </c>
      <c r="AA79" s="263">
        <f t="shared" si="21"/>
        <v>1830.24</v>
      </c>
      <c r="AB79" s="263">
        <f t="shared" si="21"/>
        <v>1737.9299999999998</v>
      </c>
      <c r="AC79" s="263">
        <f t="shared" si="21"/>
        <v>1798.26</v>
      </c>
      <c r="AD79" s="263">
        <f t="shared" si="21"/>
        <v>1798.16</v>
      </c>
      <c r="AE79" s="263">
        <f t="shared" si="21"/>
        <v>1789.45</v>
      </c>
      <c r="AF79" s="263">
        <f t="shared" si="21"/>
        <v>1770.74</v>
      </c>
      <c r="AG79" s="261">
        <f>AG76+AG72+AG60+AG56+AG38+AG78</f>
        <v>1317.0900000000001</v>
      </c>
      <c r="AH79" s="226">
        <f t="shared" si="2"/>
        <v>1847.14</v>
      </c>
      <c r="AI79" s="227">
        <f t="shared" si="3"/>
        <v>1582.0400000000002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" si="22">B79-B87</f>
        <v>1369.2399999999998</v>
      </c>
      <c r="C80" s="263">
        <f t="shared" ref="C80:AF80" si="23">C79-C87</f>
        <v>1286.24</v>
      </c>
      <c r="D80" s="263">
        <f t="shared" si="23"/>
        <v>1198.0400000000002</v>
      </c>
      <c r="E80" s="263">
        <f t="shared" si="23"/>
        <v>1258.5400000000002</v>
      </c>
      <c r="F80" s="263">
        <f t="shared" si="23"/>
        <v>1296.4000000000003</v>
      </c>
      <c r="G80" s="263">
        <f t="shared" si="23"/>
        <v>1336.5400000000002</v>
      </c>
      <c r="H80" s="263">
        <f t="shared" si="23"/>
        <v>1314.2</v>
      </c>
      <c r="I80" s="263">
        <f t="shared" si="23"/>
        <v>1326.64</v>
      </c>
      <c r="J80" s="263">
        <f t="shared" si="23"/>
        <v>1307.8400000000001</v>
      </c>
      <c r="K80" s="263">
        <f t="shared" si="23"/>
        <v>1383.5400000000002</v>
      </c>
      <c r="L80" s="263">
        <f t="shared" si="23"/>
        <v>1407.21</v>
      </c>
      <c r="M80" s="263">
        <f t="shared" si="23"/>
        <v>1420.8799999999999</v>
      </c>
      <c r="N80" s="263">
        <f t="shared" si="23"/>
        <v>1415.6699999999998</v>
      </c>
      <c r="O80" s="263">
        <f t="shared" si="23"/>
        <v>1426.54</v>
      </c>
      <c r="P80" s="263">
        <f t="shared" si="23"/>
        <v>1392.92</v>
      </c>
      <c r="Q80" s="263">
        <f t="shared" si="23"/>
        <v>1405.0499999999997</v>
      </c>
      <c r="R80" s="263">
        <f t="shared" si="23"/>
        <v>1412.0900000000001</v>
      </c>
      <c r="S80" s="263">
        <f t="shared" si="23"/>
        <v>1411.44</v>
      </c>
      <c r="T80" s="263">
        <f t="shared" si="23"/>
        <v>1452.83</v>
      </c>
      <c r="U80" s="263">
        <f t="shared" si="23"/>
        <v>1426.24</v>
      </c>
      <c r="V80" s="263">
        <f t="shared" si="23"/>
        <v>1446.74</v>
      </c>
      <c r="W80" s="263">
        <f t="shared" si="23"/>
        <v>1397.24</v>
      </c>
      <c r="X80" s="263">
        <f t="shared" si="23"/>
        <v>1389.74</v>
      </c>
      <c r="Y80" s="263">
        <f t="shared" si="23"/>
        <v>1518.14</v>
      </c>
      <c r="Z80" s="263">
        <f t="shared" si="23"/>
        <v>1597.14</v>
      </c>
      <c r="AA80" s="263">
        <f t="shared" si="23"/>
        <v>1584.24</v>
      </c>
      <c r="AB80" s="263">
        <f t="shared" si="23"/>
        <v>1503.9299999999998</v>
      </c>
      <c r="AC80" s="263">
        <f t="shared" si="23"/>
        <v>1517.46</v>
      </c>
      <c r="AD80" s="263">
        <f t="shared" si="23"/>
        <v>1503.2600000000002</v>
      </c>
      <c r="AE80" s="263">
        <f t="shared" si="23"/>
        <v>1469.25</v>
      </c>
      <c r="AF80" s="263">
        <f t="shared" si="23"/>
        <v>1408.74</v>
      </c>
      <c r="AG80" s="261"/>
      <c r="AH80" s="226">
        <f t="shared" ref="AH80:AH97" si="24">MAX(B80:AF80)</f>
        <v>1597.14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 t="shared" ref="B81" si="25">IF(B64&lt;0,B64*-1,0)</f>
        <v>0</v>
      </c>
      <c r="C81" s="256">
        <f t="shared" ref="C81:AF81" si="26">IF(C64&lt;0,C64*-1,0)</f>
        <v>0</v>
      </c>
      <c r="D81" s="256">
        <f t="shared" si="26"/>
        <v>0</v>
      </c>
      <c r="E81" s="256">
        <f t="shared" si="26"/>
        <v>0</v>
      </c>
      <c r="F81" s="256">
        <f t="shared" si="26"/>
        <v>0</v>
      </c>
      <c r="G81" s="256">
        <f t="shared" si="26"/>
        <v>0</v>
      </c>
      <c r="H81" s="256">
        <f t="shared" si="26"/>
        <v>0</v>
      </c>
      <c r="I81" s="256">
        <f t="shared" si="26"/>
        <v>0</v>
      </c>
      <c r="J81" s="256">
        <f t="shared" si="26"/>
        <v>0</v>
      </c>
      <c r="K81" s="256">
        <f t="shared" si="26"/>
        <v>0</v>
      </c>
      <c r="L81" s="256">
        <f t="shared" si="26"/>
        <v>0</v>
      </c>
      <c r="M81" s="256">
        <f t="shared" si="26"/>
        <v>0</v>
      </c>
      <c r="N81" s="256">
        <f t="shared" si="26"/>
        <v>0</v>
      </c>
      <c r="O81" s="256">
        <f t="shared" si="26"/>
        <v>0</v>
      </c>
      <c r="P81" s="256">
        <f t="shared" si="26"/>
        <v>0</v>
      </c>
      <c r="Q81" s="256">
        <f t="shared" si="26"/>
        <v>0</v>
      </c>
      <c r="R81" s="256">
        <f t="shared" si="26"/>
        <v>0</v>
      </c>
      <c r="S81" s="256">
        <f t="shared" si="26"/>
        <v>0</v>
      </c>
      <c r="T81" s="256">
        <f t="shared" si="26"/>
        <v>0</v>
      </c>
      <c r="U81" s="256">
        <f t="shared" si="26"/>
        <v>0</v>
      </c>
      <c r="V81" s="256">
        <f t="shared" si="26"/>
        <v>0</v>
      </c>
      <c r="W81" s="256">
        <f t="shared" si="26"/>
        <v>0</v>
      </c>
      <c r="X81" s="256">
        <f t="shared" si="26"/>
        <v>0</v>
      </c>
      <c r="Y81" s="256">
        <f t="shared" si="26"/>
        <v>0</v>
      </c>
      <c r="Z81" s="256">
        <f t="shared" si="26"/>
        <v>0</v>
      </c>
      <c r="AA81" s="256">
        <f t="shared" si="26"/>
        <v>0</v>
      </c>
      <c r="AB81" s="256">
        <f t="shared" si="26"/>
        <v>0</v>
      </c>
      <c r="AC81" s="256">
        <f t="shared" si="26"/>
        <v>0</v>
      </c>
      <c r="AD81" s="256">
        <f t="shared" si="26"/>
        <v>0</v>
      </c>
      <c r="AE81" s="256">
        <f t="shared" si="26"/>
        <v>0</v>
      </c>
      <c r="AF81" s="256">
        <f t="shared" si="26"/>
        <v>0</v>
      </c>
      <c r="AG81" s="230"/>
      <c r="AH81" s="226">
        <f t="shared" si="24"/>
        <v>0</v>
      </c>
      <c r="AI81" s="227">
        <f t="shared" ref="AI81:AI97" si="27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 t="shared" ref="B82" si="28">IF(B62&lt;0,B62*-1,0)</f>
        <v>0</v>
      </c>
      <c r="C82" s="256">
        <f t="shared" ref="C82:AF82" si="29">IF(C62&lt;0,C62*-1,0)</f>
        <v>0</v>
      </c>
      <c r="D82" s="256">
        <f t="shared" si="29"/>
        <v>0</v>
      </c>
      <c r="E82" s="256">
        <f t="shared" si="29"/>
        <v>0</v>
      </c>
      <c r="F82" s="256">
        <f t="shared" si="29"/>
        <v>0</v>
      </c>
      <c r="G82" s="256">
        <f t="shared" si="29"/>
        <v>0</v>
      </c>
      <c r="H82" s="256">
        <f t="shared" si="29"/>
        <v>0</v>
      </c>
      <c r="I82" s="256">
        <f t="shared" si="29"/>
        <v>0</v>
      </c>
      <c r="J82" s="256">
        <f t="shared" si="29"/>
        <v>0</v>
      </c>
      <c r="K82" s="256">
        <f t="shared" si="29"/>
        <v>0</v>
      </c>
      <c r="L82" s="256">
        <f t="shared" si="29"/>
        <v>0</v>
      </c>
      <c r="M82" s="256">
        <f t="shared" si="29"/>
        <v>0</v>
      </c>
      <c r="N82" s="256">
        <f t="shared" si="29"/>
        <v>0</v>
      </c>
      <c r="O82" s="256">
        <f t="shared" si="29"/>
        <v>0</v>
      </c>
      <c r="P82" s="256">
        <f t="shared" si="29"/>
        <v>0</v>
      </c>
      <c r="Q82" s="256">
        <f t="shared" si="29"/>
        <v>0</v>
      </c>
      <c r="R82" s="256">
        <f t="shared" si="29"/>
        <v>0</v>
      </c>
      <c r="S82" s="256">
        <f t="shared" si="29"/>
        <v>0</v>
      </c>
      <c r="T82" s="256">
        <f t="shared" si="29"/>
        <v>0</v>
      </c>
      <c r="U82" s="256">
        <f t="shared" si="29"/>
        <v>0</v>
      </c>
      <c r="V82" s="256">
        <f t="shared" si="29"/>
        <v>0</v>
      </c>
      <c r="W82" s="256">
        <f t="shared" si="29"/>
        <v>0</v>
      </c>
      <c r="X82" s="256">
        <f t="shared" si="29"/>
        <v>0</v>
      </c>
      <c r="Y82" s="256">
        <f t="shared" si="29"/>
        <v>0</v>
      </c>
      <c r="Z82" s="256">
        <f t="shared" si="29"/>
        <v>0</v>
      </c>
      <c r="AA82" s="256">
        <f t="shared" si="29"/>
        <v>0</v>
      </c>
      <c r="AB82" s="256">
        <f t="shared" si="29"/>
        <v>0</v>
      </c>
      <c r="AC82" s="256">
        <f t="shared" si="29"/>
        <v>0</v>
      </c>
      <c r="AD82" s="256">
        <f t="shared" si="29"/>
        <v>0</v>
      </c>
      <c r="AE82" s="256">
        <f t="shared" si="29"/>
        <v>0</v>
      </c>
      <c r="AF82" s="256">
        <f t="shared" si="29"/>
        <v>0</v>
      </c>
      <c r="AG82" s="235"/>
      <c r="AH82" s="226">
        <f t="shared" si="24"/>
        <v>0</v>
      </c>
      <c r="AI82" s="227">
        <f t="shared" si="27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 t="shared" ref="B83" si="30">IF(B65&lt;0,B65*-1,0)</f>
        <v>0</v>
      </c>
      <c r="C83" s="256">
        <f t="shared" ref="C83:AF83" si="31">IF(C65&lt;0,C65*-1,0)</f>
        <v>0</v>
      </c>
      <c r="D83" s="256">
        <f t="shared" si="31"/>
        <v>0</v>
      </c>
      <c r="E83" s="256">
        <f t="shared" si="31"/>
        <v>0</v>
      </c>
      <c r="F83" s="256">
        <f t="shared" si="31"/>
        <v>0</v>
      </c>
      <c r="G83" s="256">
        <f t="shared" si="31"/>
        <v>0</v>
      </c>
      <c r="H83" s="256">
        <f t="shared" si="31"/>
        <v>0</v>
      </c>
      <c r="I83" s="256">
        <f t="shared" si="31"/>
        <v>0</v>
      </c>
      <c r="J83" s="256">
        <f t="shared" si="31"/>
        <v>0</v>
      </c>
      <c r="K83" s="256">
        <f t="shared" si="31"/>
        <v>0</v>
      </c>
      <c r="L83" s="256">
        <f t="shared" si="31"/>
        <v>0</v>
      </c>
      <c r="M83" s="256">
        <f t="shared" si="31"/>
        <v>0</v>
      </c>
      <c r="N83" s="256">
        <f t="shared" si="31"/>
        <v>0</v>
      </c>
      <c r="O83" s="256">
        <f t="shared" si="31"/>
        <v>0</v>
      </c>
      <c r="P83" s="256">
        <f t="shared" si="31"/>
        <v>0</v>
      </c>
      <c r="Q83" s="256">
        <f t="shared" si="31"/>
        <v>0</v>
      </c>
      <c r="R83" s="256">
        <f t="shared" si="31"/>
        <v>0</v>
      </c>
      <c r="S83" s="256">
        <f t="shared" si="31"/>
        <v>0</v>
      </c>
      <c r="T83" s="256">
        <f t="shared" si="31"/>
        <v>0</v>
      </c>
      <c r="U83" s="256">
        <f t="shared" si="31"/>
        <v>0</v>
      </c>
      <c r="V83" s="256">
        <f t="shared" si="31"/>
        <v>0</v>
      </c>
      <c r="W83" s="256">
        <f t="shared" si="31"/>
        <v>0</v>
      </c>
      <c r="X83" s="256">
        <f t="shared" si="31"/>
        <v>0</v>
      </c>
      <c r="Y83" s="256">
        <f t="shared" si="31"/>
        <v>0</v>
      </c>
      <c r="Z83" s="256">
        <f t="shared" si="31"/>
        <v>0</v>
      </c>
      <c r="AA83" s="256">
        <f t="shared" si="31"/>
        <v>0</v>
      </c>
      <c r="AB83" s="256">
        <f t="shared" si="31"/>
        <v>0</v>
      </c>
      <c r="AC83" s="256">
        <f t="shared" si="31"/>
        <v>0</v>
      </c>
      <c r="AD83" s="256">
        <f t="shared" si="31"/>
        <v>0</v>
      </c>
      <c r="AE83" s="256">
        <f t="shared" si="31"/>
        <v>0</v>
      </c>
      <c r="AF83" s="256">
        <f t="shared" si="31"/>
        <v>0</v>
      </c>
      <c r="AG83" s="266"/>
      <c r="AH83" s="226">
        <f t="shared" si="24"/>
        <v>0</v>
      </c>
      <c r="AI83" s="227">
        <f t="shared" si="27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 t="shared" ref="B84" si="32">IF(B63&lt;0,B63*-1,0)</f>
        <v>372</v>
      </c>
      <c r="C84" s="256">
        <f t="shared" ref="C84:AF84" si="33">IF(C63&lt;0,C63*-1,0)</f>
        <v>404</v>
      </c>
      <c r="D84" s="256">
        <f t="shared" si="33"/>
        <v>384</v>
      </c>
      <c r="E84" s="256">
        <f t="shared" si="33"/>
        <v>394</v>
      </c>
      <c r="F84" s="256">
        <f t="shared" si="33"/>
        <v>368</v>
      </c>
      <c r="G84" s="256">
        <f t="shared" si="33"/>
        <v>347</v>
      </c>
      <c r="H84" s="256">
        <f t="shared" si="33"/>
        <v>369</v>
      </c>
      <c r="I84" s="256">
        <f t="shared" si="33"/>
        <v>370</v>
      </c>
      <c r="J84" s="256">
        <f t="shared" si="33"/>
        <v>400</v>
      </c>
      <c r="K84" s="256">
        <f t="shared" si="33"/>
        <v>360</v>
      </c>
      <c r="L84" s="256">
        <f t="shared" si="33"/>
        <v>358</v>
      </c>
      <c r="M84" s="256">
        <f t="shared" si="33"/>
        <v>364.5</v>
      </c>
      <c r="N84" s="256">
        <f t="shared" si="33"/>
        <v>370.2</v>
      </c>
      <c r="O84" s="256">
        <f t="shared" si="33"/>
        <v>325.2</v>
      </c>
      <c r="P84" s="256">
        <f t="shared" si="33"/>
        <v>335.9</v>
      </c>
      <c r="Q84" s="256">
        <f t="shared" si="33"/>
        <v>334.6</v>
      </c>
      <c r="R84" s="256">
        <f t="shared" si="33"/>
        <v>321.60000000000002</v>
      </c>
      <c r="S84" s="256">
        <f t="shared" si="33"/>
        <v>326.5</v>
      </c>
      <c r="T84" s="256">
        <f t="shared" si="33"/>
        <v>330.4</v>
      </c>
      <c r="U84" s="256">
        <f t="shared" si="33"/>
        <v>309</v>
      </c>
      <c r="V84" s="256">
        <f t="shared" si="33"/>
        <v>309</v>
      </c>
      <c r="W84" s="256">
        <f t="shared" si="33"/>
        <v>370</v>
      </c>
      <c r="X84" s="256">
        <f t="shared" si="33"/>
        <v>398</v>
      </c>
      <c r="Y84" s="256">
        <f t="shared" si="33"/>
        <v>285</v>
      </c>
      <c r="Z84" s="256">
        <f t="shared" si="33"/>
        <v>250</v>
      </c>
      <c r="AA84" s="256">
        <f t="shared" si="33"/>
        <v>246</v>
      </c>
      <c r="AB84" s="256">
        <f t="shared" si="33"/>
        <v>234</v>
      </c>
      <c r="AC84" s="256">
        <f t="shared" si="33"/>
        <v>280.8</v>
      </c>
      <c r="AD84" s="256">
        <f t="shared" si="33"/>
        <v>294.89999999999998</v>
      </c>
      <c r="AE84" s="256">
        <f t="shared" si="33"/>
        <v>320.2</v>
      </c>
      <c r="AF84" s="256">
        <f t="shared" si="33"/>
        <v>362</v>
      </c>
      <c r="AG84" s="266"/>
      <c r="AH84" s="226">
        <f t="shared" si="24"/>
        <v>404</v>
      </c>
      <c r="AI84" s="227">
        <f t="shared" si="27"/>
        <v>234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 t="shared" ref="B85" si="34">IF(B61&lt;0,B61*-1,0)</f>
        <v>0</v>
      </c>
      <c r="C85" s="256">
        <f t="shared" ref="C85:AF85" si="35">IF(C61&lt;0,C61*-1,0)</f>
        <v>0</v>
      </c>
      <c r="D85" s="256">
        <f t="shared" si="35"/>
        <v>0</v>
      </c>
      <c r="E85" s="256">
        <f t="shared" si="35"/>
        <v>0</v>
      </c>
      <c r="F85" s="256">
        <f t="shared" si="35"/>
        <v>0</v>
      </c>
      <c r="G85" s="256">
        <f t="shared" si="35"/>
        <v>0</v>
      </c>
      <c r="H85" s="256">
        <f t="shared" si="35"/>
        <v>0</v>
      </c>
      <c r="I85" s="256">
        <f t="shared" si="35"/>
        <v>0</v>
      </c>
      <c r="J85" s="256">
        <f t="shared" si="35"/>
        <v>0</v>
      </c>
      <c r="K85" s="256">
        <f t="shared" si="35"/>
        <v>0</v>
      </c>
      <c r="L85" s="256">
        <f t="shared" si="35"/>
        <v>0</v>
      </c>
      <c r="M85" s="256">
        <f t="shared" si="35"/>
        <v>0</v>
      </c>
      <c r="N85" s="256">
        <f t="shared" si="35"/>
        <v>0</v>
      </c>
      <c r="O85" s="256">
        <f t="shared" si="35"/>
        <v>0</v>
      </c>
      <c r="P85" s="256">
        <f t="shared" si="35"/>
        <v>0</v>
      </c>
      <c r="Q85" s="256">
        <f t="shared" si="35"/>
        <v>0</v>
      </c>
      <c r="R85" s="256">
        <f t="shared" si="35"/>
        <v>0</v>
      </c>
      <c r="S85" s="256">
        <f t="shared" si="35"/>
        <v>0</v>
      </c>
      <c r="T85" s="256">
        <f t="shared" si="35"/>
        <v>0</v>
      </c>
      <c r="U85" s="256">
        <f t="shared" si="35"/>
        <v>0</v>
      </c>
      <c r="V85" s="256">
        <f t="shared" si="35"/>
        <v>0</v>
      </c>
      <c r="W85" s="256">
        <f t="shared" si="35"/>
        <v>0</v>
      </c>
      <c r="X85" s="256">
        <f t="shared" si="35"/>
        <v>0</v>
      </c>
      <c r="Y85" s="256">
        <f t="shared" si="35"/>
        <v>0</v>
      </c>
      <c r="Z85" s="256">
        <f t="shared" si="35"/>
        <v>0</v>
      </c>
      <c r="AA85" s="256">
        <f t="shared" si="35"/>
        <v>0</v>
      </c>
      <c r="AB85" s="256">
        <f t="shared" si="35"/>
        <v>0</v>
      </c>
      <c r="AC85" s="256">
        <f t="shared" si="35"/>
        <v>0</v>
      </c>
      <c r="AD85" s="256">
        <f t="shared" si="35"/>
        <v>0</v>
      </c>
      <c r="AE85" s="256">
        <f t="shared" si="35"/>
        <v>0</v>
      </c>
      <c r="AF85" s="256">
        <f t="shared" si="35"/>
        <v>0</v>
      </c>
      <c r="AG85" s="266"/>
      <c r="AH85" s="226">
        <f t="shared" si="24"/>
        <v>0</v>
      </c>
      <c r="AI85" s="227">
        <f t="shared" si="27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24"/>
        <v>0</v>
      </c>
      <c r="AI86" s="227">
        <f t="shared" si="27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 t="shared" ref="B87" si="36">SUM(B81:B86)</f>
        <v>372</v>
      </c>
      <c r="C87" s="241">
        <f t="shared" ref="C87:AF87" si="37">SUM(C81:C86)</f>
        <v>404</v>
      </c>
      <c r="D87" s="241">
        <f t="shared" si="37"/>
        <v>384</v>
      </c>
      <c r="E87" s="241">
        <f t="shared" si="37"/>
        <v>394</v>
      </c>
      <c r="F87" s="241">
        <f t="shared" si="37"/>
        <v>368</v>
      </c>
      <c r="G87" s="241">
        <f t="shared" si="37"/>
        <v>347</v>
      </c>
      <c r="H87" s="241">
        <f t="shared" si="37"/>
        <v>369</v>
      </c>
      <c r="I87" s="241">
        <f t="shared" si="37"/>
        <v>370</v>
      </c>
      <c r="J87" s="241">
        <f t="shared" si="37"/>
        <v>400</v>
      </c>
      <c r="K87" s="241">
        <f t="shared" si="37"/>
        <v>360</v>
      </c>
      <c r="L87" s="241">
        <f t="shared" si="37"/>
        <v>358</v>
      </c>
      <c r="M87" s="241">
        <f t="shared" si="37"/>
        <v>364.5</v>
      </c>
      <c r="N87" s="241">
        <f t="shared" si="37"/>
        <v>370.2</v>
      </c>
      <c r="O87" s="241">
        <f t="shared" si="37"/>
        <v>325.2</v>
      </c>
      <c r="P87" s="241">
        <f t="shared" si="37"/>
        <v>335.9</v>
      </c>
      <c r="Q87" s="241">
        <f t="shared" si="37"/>
        <v>334.6</v>
      </c>
      <c r="R87" s="241">
        <f t="shared" si="37"/>
        <v>321.60000000000002</v>
      </c>
      <c r="S87" s="241">
        <f t="shared" si="37"/>
        <v>326.5</v>
      </c>
      <c r="T87" s="241">
        <f t="shared" si="37"/>
        <v>330.4</v>
      </c>
      <c r="U87" s="241">
        <f t="shared" si="37"/>
        <v>309</v>
      </c>
      <c r="V87" s="241">
        <f t="shared" si="37"/>
        <v>309</v>
      </c>
      <c r="W87" s="241">
        <f t="shared" si="37"/>
        <v>370</v>
      </c>
      <c r="X87" s="241">
        <f t="shared" si="37"/>
        <v>398</v>
      </c>
      <c r="Y87" s="241">
        <f t="shared" si="37"/>
        <v>285</v>
      </c>
      <c r="Z87" s="241">
        <f t="shared" si="37"/>
        <v>250</v>
      </c>
      <c r="AA87" s="241">
        <f t="shared" si="37"/>
        <v>246</v>
      </c>
      <c r="AB87" s="241">
        <f t="shared" si="37"/>
        <v>234</v>
      </c>
      <c r="AC87" s="241">
        <f t="shared" si="37"/>
        <v>280.8</v>
      </c>
      <c r="AD87" s="241">
        <f t="shared" si="37"/>
        <v>294.89999999999998</v>
      </c>
      <c r="AE87" s="241">
        <f t="shared" si="37"/>
        <v>320.2</v>
      </c>
      <c r="AF87" s="241">
        <f t="shared" si="37"/>
        <v>362</v>
      </c>
      <c r="AG87" s="261"/>
      <c r="AH87" s="226">
        <f t="shared" si="24"/>
        <v>404</v>
      </c>
      <c r="AI87" s="227">
        <f t="shared" si="27"/>
        <v>234</v>
      </c>
      <c r="AK87" s="228"/>
    </row>
    <row r="88" spans="1:88" s="175" customFormat="1" ht="15.75" thickBot="1" x14ac:dyDescent="0.3">
      <c r="A88" s="254" t="s">
        <v>93</v>
      </c>
      <c r="B88" s="241">
        <f t="shared" ref="B88" si="38">B72-B87</f>
        <v>-366</v>
      </c>
      <c r="C88" s="241">
        <f t="shared" ref="C88:AF88" si="39">C72-C87</f>
        <v>-398</v>
      </c>
      <c r="D88" s="241">
        <f t="shared" si="39"/>
        <v>-378</v>
      </c>
      <c r="E88" s="241">
        <f t="shared" si="39"/>
        <v>-318</v>
      </c>
      <c r="F88" s="241">
        <f t="shared" si="39"/>
        <v>-297.84000000000003</v>
      </c>
      <c r="G88" s="241">
        <f t="shared" si="39"/>
        <v>-270.10000000000002</v>
      </c>
      <c r="H88" s="241">
        <f t="shared" si="39"/>
        <v>-301.74</v>
      </c>
      <c r="I88" s="241">
        <f t="shared" si="39"/>
        <v>-299</v>
      </c>
      <c r="J88" s="241">
        <f t="shared" si="39"/>
        <v>-344</v>
      </c>
      <c r="K88" s="241">
        <f t="shared" si="39"/>
        <v>-309</v>
      </c>
      <c r="L88" s="241">
        <f t="shared" si="39"/>
        <v>-313.52999999999997</v>
      </c>
      <c r="M88" s="241">
        <f t="shared" si="39"/>
        <v>-316.26</v>
      </c>
      <c r="N88" s="241">
        <f t="shared" si="39"/>
        <v>-309.46999999999997</v>
      </c>
      <c r="O88" s="241">
        <f t="shared" si="39"/>
        <v>-299</v>
      </c>
      <c r="P88" s="241">
        <f t="shared" si="39"/>
        <v>-318.02</v>
      </c>
      <c r="Q88" s="241">
        <f t="shared" si="39"/>
        <v>-290.99</v>
      </c>
      <c r="R88" s="241">
        <f t="shared" si="39"/>
        <v>-287.45000000000005</v>
      </c>
      <c r="S88" s="241">
        <f t="shared" si="39"/>
        <v>-292.60000000000002</v>
      </c>
      <c r="T88" s="241">
        <f t="shared" si="39"/>
        <v>-299.10999999999996</v>
      </c>
      <c r="U88" s="241">
        <f t="shared" si="39"/>
        <v>-268</v>
      </c>
      <c r="V88" s="241">
        <f t="shared" si="39"/>
        <v>-266</v>
      </c>
      <c r="W88" s="241">
        <f t="shared" si="39"/>
        <v>-336</v>
      </c>
      <c r="X88" s="241">
        <f t="shared" si="39"/>
        <v>-358</v>
      </c>
      <c r="Y88" s="241">
        <f t="shared" si="39"/>
        <v>-249</v>
      </c>
      <c r="Z88" s="241">
        <f t="shared" si="39"/>
        <v>-200</v>
      </c>
      <c r="AA88" s="241">
        <f t="shared" si="39"/>
        <v>-180</v>
      </c>
      <c r="AB88" s="241">
        <f t="shared" si="39"/>
        <v>-179.21</v>
      </c>
      <c r="AC88" s="241">
        <f t="shared" si="39"/>
        <v>-223.58</v>
      </c>
      <c r="AD88" s="241">
        <f t="shared" si="39"/>
        <v>-236.97999999999996</v>
      </c>
      <c r="AE88" s="241">
        <f t="shared" si="39"/>
        <v>-266.99</v>
      </c>
      <c r="AF88" s="241">
        <f t="shared" si="39"/>
        <v>-322.5</v>
      </c>
      <c r="AG88" s="261"/>
      <c r="AH88" s="226">
        <f t="shared" si="24"/>
        <v>-179.21</v>
      </c>
      <c r="AI88" s="227">
        <f t="shared" si="27"/>
        <v>-398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50.01</v>
      </c>
      <c r="C89" s="269">
        <v>50</v>
      </c>
      <c r="D89" s="269">
        <v>49.973999999999997</v>
      </c>
      <c r="E89" s="269">
        <v>50.012999999999998</v>
      </c>
      <c r="F89" s="269">
        <v>49.948</v>
      </c>
      <c r="G89" s="269">
        <v>49.941000000000003</v>
      </c>
      <c r="H89" s="269">
        <v>50.030999999999999</v>
      </c>
      <c r="I89" s="269">
        <v>50.030999999999999</v>
      </c>
      <c r="J89" s="269">
        <v>49.912999999999997</v>
      </c>
      <c r="K89" s="269">
        <v>50.027000000000001</v>
      </c>
      <c r="L89" s="269">
        <v>50.026000000000003</v>
      </c>
      <c r="M89" s="269">
        <v>50.1</v>
      </c>
      <c r="N89" s="269">
        <v>50.045000000000002</v>
      </c>
      <c r="O89" s="269">
        <v>50.02</v>
      </c>
      <c r="P89" s="269">
        <v>50.023000000000003</v>
      </c>
      <c r="Q89" s="269">
        <v>49.984000000000002</v>
      </c>
      <c r="R89" s="269">
        <v>49.9</v>
      </c>
      <c r="S89" s="269">
        <v>49.954000000000001</v>
      </c>
      <c r="T89" s="269">
        <v>49.959000000000003</v>
      </c>
      <c r="U89" s="269">
        <v>50.069000000000003</v>
      </c>
      <c r="V89" s="269">
        <v>50.069000000000003</v>
      </c>
      <c r="W89" s="269">
        <v>50.018000000000001</v>
      </c>
      <c r="X89" s="269">
        <v>49.978000000000002</v>
      </c>
      <c r="Y89" s="269">
        <v>49.965000000000003</v>
      </c>
      <c r="Z89" s="269">
        <v>49.965000000000003</v>
      </c>
      <c r="AA89" s="269">
        <v>49.792000000000002</v>
      </c>
      <c r="AB89" s="269">
        <v>50.05</v>
      </c>
      <c r="AC89" s="269">
        <v>49.968000000000004</v>
      </c>
      <c r="AD89" s="269">
        <v>49.98</v>
      </c>
      <c r="AE89" s="269">
        <v>49.984000000000002</v>
      </c>
      <c r="AF89" s="269">
        <v>49.957000000000001</v>
      </c>
      <c r="AG89" s="270"/>
      <c r="AH89" s="226">
        <f t="shared" si="24"/>
        <v>50.1</v>
      </c>
      <c r="AI89" s="227">
        <f t="shared" si="27"/>
        <v>49.792000000000002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124.7</v>
      </c>
      <c r="C90" s="245">
        <v>124</v>
      </c>
      <c r="D90" s="245">
        <v>123.9</v>
      </c>
      <c r="E90" s="245">
        <v>125.9</v>
      </c>
      <c r="F90" s="245">
        <v>124.2</v>
      </c>
      <c r="G90" s="245">
        <v>123.5</v>
      </c>
      <c r="H90" s="245">
        <v>124.2</v>
      </c>
      <c r="I90" s="245">
        <v>124.2</v>
      </c>
      <c r="J90" s="245">
        <v>123.6</v>
      </c>
      <c r="K90" s="245">
        <v>122.4</v>
      </c>
      <c r="L90" s="245">
        <v>122</v>
      </c>
      <c r="M90" s="245">
        <v>122.5</v>
      </c>
      <c r="N90" s="245">
        <v>123</v>
      </c>
      <c r="O90" s="245">
        <v>122.1</v>
      </c>
      <c r="P90" s="245">
        <v>124.2</v>
      </c>
      <c r="Q90" s="245">
        <v>124.1</v>
      </c>
      <c r="R90" s="245">
        <v>123.2</v>
      </c>
      <c r="S90" s="245">
        <v>123.9</v>
      </c>
      <c r="T90" s="245">
        <v>124.9</v>
      </c>
      <c r="U90" s="245">
        <v>124.9</v>
      </c>
      <c r="V90" s="245">
        <v>124.9</v>
      </c>
      <c r="W90" s="245">
        <v>124.9</v>
      </c>
      <c r="X90" s="245">
        <v>124.9</v>
      </c>
      <c r="Y90" s="245">
        <v>124.9</v>
      </c>
      <c r="Z90" s="245">
        <v>127</v>
      </c>
      <c r="AA90" s="245">
        <v>127</v>
      </c>
      <c r="AB90" s="245">
        <v>125.4</v>
      </c>
      <c r="AC90" s="245">
        <v>124.4</v>
      </c>
      <c r="AD90" s="245">
        <v>123.9</v>
      </c>
      <c r="AE90" s="245">
        <v>123.4</v>
      </c>
      <c r="AF90" s="245">
        <v>123.5</v>
      </c>
      <c r="AG90" s="272"/>
      <c r="AH90" s="226">
        <f t="shared" si="24"/>
        <v>127</v>
      </c>
      <c r="AI90" s="227">
        <f t="shared" si="27"/>
        <v>122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129.19999999999999</v>
      </c>
      <c r="C91" s="245">
        <v>127.8</v>
      </c>
      <c r="D91" s="245">
        <v>128.1</v>
      </c>
      <c r="E91" s="245">
        <v>130</v>
      </c>
      <c r="F91" s="245">
        <v>128.69999999999999</v>
      </c>
      <c r="G91" s="245">
        <v>127.9</v>
      </c>
      <c r="H91" s="245">
        <v>128.69999999999999</v>
      </c>
      <c r="I91" s="245">
        <v>128.69999999999999</v>
      </c>
      <c r="J91" s="245">
        <v>127</v>
      </c>
      <c r="K91" s="245">
        <v>126.2</v>
      </c>
      <c r="L91" s="245">
        <v>125.8</v>
      </c>
      <c r="M91" s="245">
        <v>125.8</v>
      </c>
      <c r="N91" s="245">
        <v>126.2</v>
      </c>
      <c r="O91" s="245">
        <v>125.7</v>
      </c>
      <c r="P91" s="245">
        <v>127.3</v>
      </c>
      <c r="Q91" s="245">
        <v>127.1</v>
      </c>
      <c r="R91" s="245">
        <v>126.7</v>
      </c>
      <c r="S91" s="245">
        <v>127.6</v>
      </c>
      <c r="T91" s="245">
        <v>128</v>
      </c>
      <c r="U91" s="245">
        <v>128</v>
      </c>
      <c r="V91" s="245">
        <v>128</v>
      </c>
      <c r="W91" s="245">
        <v>128</v>
      </c>
      <c r="X91" s="245">
        <v>128</v>
      </c>
      <c r="Y91" s="245">
        <v>128</v>
      </c>
      <c r="Z91" s="245">
        <v>130</v>
      </c>
      <c r="AA91" s="245">
        <v>130</v>
      </c>
      <c r="AB91" s="245">
        <v>128.30000000000001</v>
      </c>
      <c r="AC91" s="245">
        <v>128.19999999999999</v>
      </c>
      <c r="AD91" s="245">
        <v>127.9</v>
      </c>
      <c r="AE91" s="245">
        <v>127.9</v>
      </c>
      <c r="AF91" s="245">
        <v>127.9</v>
      </c>
      <c r="AG91" s="272"/>
      <c r="AH91" s="226">
        <f t="shared" si="24"/>
        <v>130</v>
      </c>
      <c r="AI91" s="227">
        <f t="shared" si="27"/>
        <v>125.7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130.80000000000001</v>
      </c>
      <c r="C92" s="245">
        <v>130.80000000000001</v>
      </c>
      <c r="D92" s="245">
        <v>130</v>
      </c>
      <c r="E92" s="245">
        <v>130.80000000000001</v>
      </c>
      <c r="F92" s="245">
        <v>130.19999999999999</v>
      </c>
      <c r="G92" s="245">
        <v>130.4</v>
      </c>
      <c r="H92" s="245">
        <v>130.30000000000001</v>
      </c>
      <c r="I92" s="245">
        <v>130.30000000000001</v>
      </c>
      <c r="J92" s="245">
        <v>129.6</v>
      </c>
      <c r="K92" s="245">
        <v>129.5</v>
      </c>
      <c r="L92" s="245">
        <v>127.7</v>
      </c>
      <c r="M92" s="245">
        <v>131.1</v>
      </c>
      <c r="N92" s="245">
        <v>130.69999999999999</v>
      </c>
      <c r="O92" s="245">
        <v>128.6</v>
      </c>
      <c r="P92" s="245">
        <v>130.9</v>
      </c>
      <c r="Q92" s="245">
        <v>131.1</v>
      </c>
      <c r="R92" s="245">
        <v>130.6</v>
      </c>
      <c r="S92" s="245">
        <v>130.1</v>
      </c>
      <c r="T92" s="245">
        <v>129.19999999999999</v>
      </c>
      <c r="U92" s="245">
        <v>129.19999999999999</v>
      </c>
      <c r="V92" s="245">
        <v>129.19999999999999</v>
      </c>
      <c r="W92" s="245">
        <v>129.19999999999999</v>
      </c>
      <c r="X92" s="245">
        <v>129.19999999999999</v>
      </c>
      <c r="Y92" s="245">
        <v>129.19999999999999</v>
      </c>
      <c r="Z92" s="245">
        <v>129.19999999999999</v>
      </c>
      <c r="AA92" s="245">
        <v>129.19999999999999</v>
      </c>
      <c r="AB92" s="245">
        <v>130.4</v>
      </c>
      <c r="AC92" s="245">
        <v>129.5</v>
      </c>
      <c r="AD92" s="245">
        <v>128.5</v>
      </c>
      <c r="AE92" s="245">
        <v>130.80000000000001</v>
      </c>
      <c r="AF92" s="245">
        <v>129.30000000000001</v>
      </c>
      <c r="AG92" s="272"/>
      <c r="AH92" s="226">
        <f t="shared" si="24"/>
        <v>131.1</v>
      </c>
      <c r="AI92" s="227">
        <f t="shared" si="27"/>
        <v>127.7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</v>
      </c>
      <c r="C93" s="245">
        <v>134.1</v>
      </c>
      <c r="D93" s="245">
        <v>134.19999999999999</v>
      </c>
      <c r="E93" s="245">
        <v>135.30000000000001</v>
      </c>
      <c r="F93" s="245">
        <v>134.9</v>
      </c>
      <c r="G93" s="245">
        <v>136</v>
      </c>
      <c r="H93" s="245">
        <v>135</v>
      </c>
      <c r="I93" s="245">
        <v>135</v>
      </c>
      <c r="J93" s="245">
        <v>134</v>
      </c>
      <c r="K93" s="245">
        <v>132.9</v>
      </c>
      <c r="L93" s="245">
        <v>130.9</v>
      </c>
      <c r="M93" s="245">
        <v>134</v>
      </c>
      <c r="N93" s="245">
        <v>133.30000000000001</v>
      </c>
      <c r="O93" s="245">
        <v>129.69999999999999</v>
      </c>
      <c r="P93" s="245">
        <v>133</v>
      </c>
      <c r="Q93" s="245">
        <v>133.6</v>
      </c>
      <c r="R93" s="245">
        <v>133.30000000000001</v>
      </c>
      <c r="S93" s="245">
        <v>132.30000000000001</v>
      </c>
      <c r="T93" s="245">
        <v>131.9</v>
      </c>
      <c r="U93" s="245">
        <v>131.9</v>
      </c>
      <c r="V93" s="245">
        <v>131.9</v>
      </c>
      <c r="W93" s="245">
        <v>131.9</v>
      </c>
      <c r="X93" s="245">
        <v>131.9</v>
      </c>
      <c r="Y93" s="245">
        <v>131.9</v>
      </c>
      <c r="Z93" s="245">
        <v>131.9</v>
      </c>
      <c r="AA93" s="245">
        <v>131.9</v>
      </c>
      <c r="AB93" s="245">
        <v>133.30000000000001</v>
      </c>
      <c r="AC93" s="245">
        <v>133</v>
      </c>
      <c r="AD93" s="245">
        <v>132.4</v>
      </c>
      <c r="AE93" s="245">
        <v>135</v>
      </c>
      <c r="AF93" s="245">
        <v>133.80000000000001</v>
      </c>
      <c r="AG93" s="272"/>
      <c r="AH93" s="226">
        <f t="shared" si="24"/>
        <v>136</v>
      </c>
      <c r="AI93" s="227">
        <f t="shared" si="27"/>
        <v>129.69999999999999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132.30000000000001</v>
      </c>
      <c r="C94" s="274">
        <v>134.9</v>
      </c>
      <c r="D94" s="274">
        <v>131.69999999999999</v>
      </c>
      <c r="E94" s="274">
        <v>133.1</v>
      </c>
      <c r="F94" s="274">
        <v>133.19999999999999</v>
      </c>
      <c r="G94" s="274">
        <v>133.5</v>
      </c>
      <c r="H94" s="274">
        <v>134.5</v>
      </c>
      <c r="I94" s="274">
        <v>134.5</v>
      </c>
      <c r="J94" s="274">
        <v>129.69999999999999</v>
      </c>
      <c r="K94" s="274">
        <v>133.19999999999999</v>
      </c>
      <c r="L94" s="274">
        <v>131.9</v>
      </c>
      <c r="M94" s="274">
        <v>134.30000000000001</v>
      </c>
      <c r="N94" s="274">
        <v>132.80000000000001</v>
      </c>
      <c r="O94" s="274">
        <v>132.19999999999999</v>
      </c>
      <c r="P94" s="274">
        <v>132.80000000000001</v>
      </c>
      <c r="Q94" s="274">
        <v>133.9</v>
      </c>
      <c r="R94" s="274">
        <v>134.69999999999999</v>
      </c>
      <c r="S94" s="274">
        <v>133.6</v>
      </c>
      <c r="T94" s="274">
        <v>132</v>
      </c>
      <c r="U94" s="274">
        <v>132</v>
      </c>
      <c r="V94" s="274">
        <v>132</v>
      </c>
      <c r="W94" s="274">
        <v>132</v>
      </c>
      <c r="X94" s="274">
        <v>132</v>
      </c>
      <c r="Y94" s="274">
        <v>132</v>
      </c>
      <c r="Z94" s="274">
        <v>132</v>
      </c>
      <c r="AA94" s="274">
        <v>132</v>
      </c>
      <c r="AB94" s="274">
        <v>133.69999999999999</v>
      </c>
      <c r="AC94" s="274">
        <v>130</v>
      </c>
      <c r="AD94" s="274">
        <v>132</v>
      </c>
      <c r="AE94" s="274">
        <v>131.6</v>
      </c>
      <c r="AF94" s="274">
        <v>132.80000000000001</v>
      </c>
      <c r="AG94" s="275"/>
      <c r="AH94" s="226">
        <f t="shared" si="24"/>
        <v>134.9</v>
      </c>
      <c r="AI94" s="227">
        <f t="shared" si="27"/>
        <v>129.69999999999999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127.3</v>
      </c>
      <c r="C95" s="245">
        <v>1128.2</v>
      </c>
      <c r="D95" s="245">
        <v>0</v>
      </c>
      <c r="E95" s="245">
        <v>137.4</v>
      </c>
      <c r="F95" s="245">
        <v>129.1</v>
      </c>
      <c r="G95" s="245">
        <v>130.19999999999999</v>
      </c>
      <c r="H95" s="245">
        <v>132.80000000000001</v>
      </c>
      <c r="I95" s="245">
        <v>132.80000000000001</v>
      </c>
      <c r="J95" s="245">
        <v>132.9</v>
      </c>
      <c r="K95" s="245">
        <v>133.30000000000001</v>
      </c>
      <c r="L95" s="245">
        <v>132.4</v>
      </c>
      <c r="M95" s="245">
        <v>128.30000000000001</v>
      </c>
      <c r="N95" s="245">
        <v>122.9</v>
      </c>
      <c r="O95" s="245">
        <v>129.30000000000001</v>
      </c>
      <c r="P95" s="245">
        <v>127.6</v>
      </c>
      <c r="Q95" s="245">
        <v>129.4</v>
      </c>
      <c r="R95" s="245">
        <v>127.6</v>
      </c>
      <c r="S95" s="245">
        <v>128</v>
      </c>
      <c r="T95" s="245">
        <v>128.80000000000001</v>
      </c>
      <c r="U95" s="245">
        <v>128.80000000000001</v>
      </c>
      <c r="V95" s="245">
        <v>128.80000000000001</v>
      </c>
      <c r="W95" s="245">
        <v>128.80000000000001</v>
      </c>
      <c r="X95" s="245">
        <v>128.80000000000001</v>
      </c>
      <c r="Y95" s="245">
        <v>128.80000000000001</v>
      </c>
      <c r="Z95" s="245">
        <v>128.80000000000001</v>
      </c>
      <c r="AA95" s="245">
        <v>128.80000000000001</v>
      </c>
      <c r="AB95" s="245">
        <v>126.4</v>
      </c>
      <c r="AC95" s="245">
        <v>124.6</v>
      </c>
      <c r="AD95" s="245">
        <v>127.3</v>
      </c>
      <c r="AE95" s="245">
        <v>130.4</v>
      </c>
      <c r="AF95" s="245">
        <v>131.6</v>
      </c>
      <c r="AG95" s="272"/>
      <c r="AH95" s="226">
        <f t="shared" si="24"/>
        <v>1128.2</v>
      </c>
      <c r="AI95" s="227">
        <f t="shared" si="27"/>
        <v>0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65.099999999999994</v>
      </c>
      <c r="C96" s="276">
        <v>64.7</v>
      </c>
      <c r="D96" s="276">
        <v>64.900000000000006</v>
      </c>
      <c r="E96" s="276">
        <v>65.7</v>
      </c>
      <c r="F96" s="276">
        <v>65</v>
      </c>
      <c r="G96" s="276">
        <v>64.599999999999994</v>
      </c>
      <c r="H96" s="276">
        <v>64.7</v>
      </c>
      <c r="I96" s="276">
        <v>64.7</v>
      </c>
      <c r="J96" s="276">
        <v>65</v>
      </c>
      <c r="K96" s="276">
        <v>63.6</v>
      </c>
      <c r="L96" s="276">
        <v>64</v>
      </c>
      <c r="M96" s="276">
        <v>63.8</v>
      </c>
      <c r="N96" s="276">
        <v>63.6</v>
      </c>
      <c r="O96" s="276">
        <v>63.3</v>
      </c>
      <c r="P96" s="276">
        <v>64.099999999999994</v>
      </c>
      <c r="Q96" s="276">
        <v>64.2</v>
      </c>
      <c r="R96" s="276">
        <v>64</v>
      </c>
      <c r="S96" s="276">
        <v>64.2</v>
      </c>
      <c r="T96" s="276">
        <v>64.900000000000006</v>
      </c>
      <c r="U96" s="276">
        <v>64.900000000000006</v>
      </c>
      <c r="V96" s="276">
        <v>64.900000000000006</v>
      </c>
      <c r="W96" s="276">
        <v>65</v>
      </c>
      <c r="X96" s="276">
        <v>65</v>
      </c>
      <c r="Y96" s="276">
        <v>65</v>
      </c>
      <c r="Z96" s="276">
        <v>65.5</v>
      </c>
      <c r="AA96" s="276">
        <v>65.5</v>
      </c>
      <c r="AB96" s="276">
        <v>64.900000000000006</v>
      </c>
      <c r="AC96" s="276">
        <v>64.900000000000006</v>
      </c>
      <c r="AD96" s="276">
        <v>64.5</v>
      </c>
      <c r="AE96" s="276">
        <v>64.7</v>
      </c>
      <c r="AF96" s="276">
        <v>64.7</v>
      </c>
      <c r="AG96" s="277"/>
      <c r="AH96" s="226">
        <f t="shared" si="24"/>
        <v>65.7</v>
      </c>
      <c r="AI96" s="227">
        <f t="shared" si="27"/>
        <v>63.3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24"/>
        <v>0</v>
      </c>
      <c r="AI97" s="227">
        <f t="shared" si="27"/>
        <v>0</v>
      </c>
    </row>
    <row r="98" spans="1:37" ht="15.75" thickBot="1" x14ac:dyDescent="0.3">
      <c r="A98" s="279" t="s">
        <v>102</v>
      </c>
      <c r="B98" s="280">
        <f t="shared" ref="B98" si="40">SUM(B15,B18,B21:B22,B46,B48:B49,B51,B53,B99:B102,B124,B130,B136,B145,B147,B159,B166,B169:B170,B177,B179,B181,B185:B187,B189:B191,B196,B202:B203,B205:B207,B215,B220)</f>
        <v>53.59999999999998</v>
      </c>
      <c r="C98" s="280">
        <f t="shared" ref="C98:AF98" si="41">SUM(C15,C18,C21:C22,C46,C48:C49,C51,C53,C99:C102,C124,C130,C136,C145,C147,C159,C166,C169:C170,C177,C179,C181,C185:C187,C189:C191,C196,C202:C203,C205:C207,C215,C220)</f>
        <v>188.74</v>
      </c>
      <c r="D98" s="280">
        <f t="shared" si="41"/>
        <v>-5.0600000000000236</v>
      </c>
      <c r="E98" s="280">
        <f t="shared" si="41"/>
        <v>2.8400000000000056</v>
      </c>
      <c r="F98" s="280">
        <f t="shared" si="41"/>
        <v>-5.9999999999999942E-2</v>
      </c>
      <c r="G98" s="280">
        <f t="shared" si="41"/>
        <v>22.439999999999991</v>
      </c>
      <c r="H98" s="280">
        <f t="shared" si="41"/>
        <v>30.840000000000007</v>
      </c>
      <c r="I98" s="280">
        <f t="shared" si="41"/>
        <v>41.539999999999992</v>
      </c>
      <c r="J98" s="280">
        <f t="shared" si="41"/>
        <v>82.64</v>
      </c>
      <c r="K98" s="280">
        <f t="shared" si="41"/>
        <v>128.23999999999998</v>
      </c>
      <c r="L98" s="280">
        <f t="shared" si="41"/>
        <v>135.44</v>
      </c>
      <c r="M98" s="280">
        <f t="shared" si="41"/>
        <v>203.63999999999996</v>
      </c>
      <c r="N98" s="280">
        <f t="shared" si="41"/>
        <v>199.64</v>
      </c>
      <c r="O98" s="280">
        <f t="shared" si="41"/>
        <v>226.64000000000001</v>
      </c>
      <c r="P98" s="280">
        <f t="shared" si="41"/>
        <v>236.54000000000002</v>
      </c>
      <c r="Q98" s="280">
        <f t="shared" si="41"/>
        <v>202.1</v>
      </c>
      <c r="R98" s="280">
        <f t="shared" si="41"/>
        <v>195.6</v>
      </c>
      <c r="S98" s="280">
        <f t="shared" si="41"/>
        <v>171.49999999999997</v>
      </c>
      <c r="T98" s="280">
        <f t="shared" si="41"/>
        <v>165.09999999999997</v>
      </c>
      <c r="U98" s="280">
        <f t="shared" si="41"/>
        <v>224.7</v>
      </c>
      <c r="V98" s="280">
        <f t="shared" si="41"/>
        <v>224.7</v>
      </c>
      <c r="W98" s="280">
        <f t="shared" si="41"/>
        <v>220.7</v>
      </c>
      <c r="X98" s="280">
        <f t="shared" si="41"/>
        <v>209.7</v>
      </c>
      <c r="Y98" s="280">
        <f t="shared" si="41"/>
        <v>261.7</v>
      </c>
      <c r="Z98" s="280">
        <f t="shared" si="41"/>
        <v>271.7</v>
      </c>
      <c r="AA98" s="280">
        <f t="shared" si="41"/>
        <v>249.7</v>
      </c>
      <c r="AB98" s="280">
        <f t="shared" si="41"/>
        <v>268.5</v>
      </c>
      <c r="AC98" s="280">
        <f t="shared" si="41"/>
        <v>203.09999999999997</v>
      </c>
      <c r="AD98" s="280">
        <f t="shared" si="41"/>
        <v>164.09999999999997</v>
      </c>
      <c r="AE98" s="280">
        <f t="shared" si="41"/>
        <v>130.19999999999999</v>
      </c>
      <c r="AF98" s="280">
        <f t="shared" si="41"/>
        <v>100.39999999999998</v>
      </c>
      <c r="AG98" s="281"/>
      <c r="AH98" s="226">
        <f>MAX(C98:AF98)</f>
        <v>271.7</v>
      </c>
      <c r="AI98" s="227">
        <f>MIN(C98:AF98)</f>
        <v>-5.0600000000000236</v>
      </c>
    </row>
    <row r="99" spans="1:37" x14ac:dyDescent="0.25">
      <c r="A99" s="268" t="s">
        <v>103</v>
      </c>
      <c r="B99" s="282">
        <f>23.7+7</f>
        <v>30.7</v>
      </c>
      <c r="C99" s="282">
        <f>48.2+31.3</f>
        <v>79.5</v>
      </c>
      <c r="D99" s="282">
        <v>20</v>
      </c>
      <c r="E99" s="282">
        <v>19.100000000000001</v>
      </c>
      <c r="F99" s="282">
        <v>23.9</v>
      </c>
      <c r="G99" s="282">
        <v>28.5</v>
      </c>
      <c r="H99" s="282">
        <v>29.8</v>
      </c>
      <c r="I99" s="282">
        <v>30.8</v>
      </c>
      <c r="J99" s="282">
        <v>35</v>
      </c>
      <c r="K99" s="282">
        <v>34.6</v>
      </c>
      <c r="L99" s="282">
        <v>40</v>
      </c>
      <c r="M99" s="282">
        <v>105.2</v>
      </c>
      <c r="N99" s="282">
        <v>96.8</v>
      </c>
      <c r="O99" s="282">
        <v>79</v>
      </c>
      <c r="P99" s="282">
        <v>103.8</v>
      </c>
      <c r="Q99" s="282">
        <v>72.3</v>
      </c>
      <c r="R99" s="282">
        <v>68.900000000000006</v>
      </c>
      <c r="S99" s="282">
        <v>46.2</v>
      </c>
      <c r="T99" s="282">
        <v>36.9</v>
      </c>
      <c r="U99" s="282">
        <f>43+26</f>
        <v>69</v>
      </c>
      <c r="V99" s="282">
        <f>43+26</f>
        <v>69</v>
      </c>
      <c r="W99" s="282">
        <f>45+29</f>
        <v>74</v>
      </c>
      <c r="X99" s="282">
        <v>87</v>
      </c>
      <c r="Y99" s="282">
        <v>87</v>
      </c>
      <c r="Z99" s="282">
        <v>74</v>
      </c>
      <c r="AA99" s="282">
        <v>83</v>
      </c>
      <c r="AB99" s="282">
        <v>80</v>
      </c>
      <c r="AC99" s="282">
        <v>54.5</v>
      </c>
      <c r="AD99" s="282">
        <v>59.2</v>
      </c>
      <c r="AE99" s="282">
        <v>72.900000000000006</v>
      </c>
      <c r="AF99" s="282">
        <v>51.7</v>
      </c>
      <c r="AG99" s="283">
        <v>75</v>
      </c>
      <c r="AH99" s="226">
        <f t="shared" ref="AH99:AH106" si="42">IF(ABS(MAX(C99:AF99))&gt;ABS(MIN(C99:AF99)),MAX(C99:AF99),MIN(C99:AF99))</f>
        <v>105.2</v>
      </c>
      <c r="AI99" s="284">
        <f t="shared" ref="AI99:AI106" si="43">INDEX($C$9:$AF$9,1,MATCH(AH99,C99:AF99,0))</f>
        <v>0.33333333333333331</v>
      </c>
    </row>
    <row r="100" spans="1:37" x14ac:dyDescent="0.25">
      <c r="A100" s="271" t="s">
        <v>104</v>
      </c>
      <c r="B100" s="285">
        <f>-69-72.9</f>
        <v>-141.9</v>
      </c>
      <c r="C100" s="285">
        <f>-58.6+65.1</f>
        <v>6.4999999999999929</v>
      </c>
      <c r="D100" s="285">
        <f>-66-70</f>
        <v>-136</v>
      </c>
      <c r="E100" s="285">
        <f>-63.1-67.5</f>
        <v>-130.6</v>
      </c>
      <c r="F100" s="285">
        <f>-61-65.5</f>
        <v>-126.5</v>
      </c>
      <c r="G100" s="285">
        <f>-53.6-57.3</f>
        <v>-110.9</v>
      </c>
      <c r="H100" s="285">
        <f>-50-55</f>
        <v>-105</v>
      </c>
      <c r="I100" s="285">
        <f>-50-55</f>
        <v>-105</v>
      </c>
      <c r="J100" s="285">
        <f>-41-45</f>
        <v>-86</v>
      </c>
      <c r="K100" s="285">
        <f>-28-31.3</f>
        <v>-59.3</v>
      </c>
      <c r="L100" s="285">
        <f>-31.2-34.7</f>
        <v>-65.900000000000006</v>
      </c>
      <c r="M100" s="285">
        <f>-34.5-38.8</f>
        <v>-73.3</v>
      </c>
      <c r="N100" s="285">
        <f>-34-39.3</f>
        <v>-73.3</v>
      </c>
      <c r="O100" s="285">
        <f>-45-49</f>
        <v>-94</v>
      </c>
      <c r="P100" s="285">
        <v>-89.6</v>
      </c>
      <c r="Q100" s="285">
        <f>-43.6-47.5</f>
        <v>-91.1</v>
      </c>
      <c r="R100" s="285">
        <f>-45-49</f>
        <v>-94</v>
      </c>
      <c r="S100" s="285">
        <v>-92.3</v>
      </c>
      <c r="T100" s="285">
        <v>-90.7</v>
      </c>
      <c r="U100" s="285">
        <v>-72</v>
      </c>
      <c r="V100" s="285">
        <v>-72</v>
      </c>
      <c r="W100" s="285">
        <v>-85</v>
      </c>
      <c r="X100" s="285">
        <v>-95</v>
      </c>
      <c r="Y100" s="285">
        <v>-76</v>
      </c>
      <c r="Z100" s="285">
        <v>-30</v>
      </c>
      <c r="AA100" s="285">
        <v>-30</v>
      </c>
      <c r="AB100" s="285">
        <v>-59.5</v>
      </c>
      <c r="AC100" s="285">
        <v>-85.5</v>
      </c>
      <c r="AD100" s="285">
        <v>-104</v>
      </c>
      <c r="AE100" s="285">
        <v>-115.2</v>
      </c>
      <c r="AF100" s="285">
        <f>-58-63</f>
        <v>-121</v>
      </c>
      <c r="AG100" s="283">
        <v>240</v>
      </c>
      <c r="AH100" s="226">
        <f t="shared" si="42"/>
        <v>-136</v>
      </c>
      <c r="AI100" s="284">
        <f t="shared" si="43"/>
        <v>8.3333333333333301E-2</v>
      </c>
    </row>
    <row r="101" spans="1:37" x14ac:dyDescent="0.25">
      <c r="A101" s="271" t="s">
        <v>105</v>
      </c>
      <c r="B101" s="285">
        <v>-5.2</v>
      </c>
      <c r="C101" s="285">
        <v>-7</v>
      </c>
      <c r="D101" s="285">
        <v>-8.4</v>
      </c>
      <c r="E101" s="285">
        <v>-5.5</v>
      </c>
      <c r="F101" s="285">
        <v>-5</v>
      </c>
      <c r="G101" s="285">
        <v>-2.7</v>
      </c>
      <c r="H101" s="285">
        <v>-1.5</v>
      </c>
      <c r="I101" s="285">
        <v>-1.5</v>
      </c>
      <c r="J101" s="285">
        <v>2.2000000000000002</v>
      </c>
      <c r="K101" s="285">
        <v>11.5</v>
      </c>
      <c r="L101" s="285">
        <v>14.9</v>
      </c>
      <c r="M101" s="285">
        <v>20.6</v>
      </c>
      <c r="N101" s="285">
        <v>17.2</v>
      </c>
      <c r="O101" s="285">
        <v>8.3000000000000007</v>
      </c>
      <c r="P101" s="285">
        <v>9.9</v>
      </c>
      <c r="Q101" s="285">
        <v>9.6999999999999993</v>
      </c>
      <c r="R101" s="285">
        <v>8.4</v>
      </c>
      <c r="S101" s="285">
        <v>12.5</v>
      </c>
      <c r="T101" s="285">
        <v>27.4</v>
      </c>
      <c r="U101" s="285">
        <v>11</v>
      </c>
      <c r="V101" s="285">
        <v>11</v>
      </c>
      <c r="W101" s="285">
        <v>21</v>
      </c>
      <c r="X101" s="285">
        <v>17</v>
      </c>
      <c r="Y101" s="285">
        <v>30</v>
      </c>
      <c r="Z101" s="285">
        <v>42</v>
      </c>
      <c r="AA101" s="285">
        <v>24</v>
      </c>
      <c r="AB101" s="285">
        <v>10.7</v>
      </c>
      <c r="AC101" s="285">
        <v>7.1</v>
      </c>
      <c r="AD101" s="285">
        <v>4.7</v>
      </c>
      <c r="AE101" s="285">
        <v>2.2999999999999998</v>
      </c>
      <c r="AF101" s="285">
        <v>-0.5</v>
      </c>
      <c r="AG101" s="283">
        <v>60</v>
      </c>
      <c r="AH101" s="226">
        <f t="shared" si="42"/>
        <v>42</v>
      </c>
      <c r="AI101" s="284">
        <f t="shared" si="43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0</v>
      </c>
      <c r="K102" s="287">
        <v>0</v>
      </c>
      <c r="L102" s="287">
        <v>0</v>
      </c>
      <c r="M102" s="287">
        <v>0</v>
      </c>
      <c r="N102" s="287">
        <v>0</v>
      </c>
      <c r="O102" s="287">
        <v>59.4</v>
      </c>
      <c r="P102" s="287">
        <v>54.3</v>
      </c>
      <c r="Q102" s="287">
        <v>53</v>
      </c>
      <c r="R102" s="287">
        <v>54.1</v>
      </c>
      <c r="S102" s="287">
        <v>46.9</v>
      </c>
      <c r="T102" s="287">
        <v>33.299999999999997</v>
      </c>
      <c r="U102" s="287">
        <v>68</v>
      </c>
      <c r="V102" s="287">
        <v>68</v>
      </c>
      <c r="W102" s="287">
        <v>47</v>
      </c>
      <c r="X102" s="287">
        <v>37</v>
      </c>
      <c r="Y102" s="287">
        <v>60</v>
      </c>
      <c r="Z102" s="287">
        <v>25</v>
      </c>
      <c r="AA102" s="287">
        <v>12</v>
      </c>
      <c r="AB102" s="287">
        <v>77.099999999999994</v>
      </c>
      <c r="AC102" s="287">
        <v>56.8</v>
      </c>
      <c r="AD102" s="287">
        <v>34</v>
      </c>
      <c r="AE102" s="287">
        <v>0</v>
      </c>
      <c r="AF102" s="287">
        <v>0</v>
      </c>
      <c r="AG102" s="288">
        <v>120</v>
      </c>
      <c r="AH102" s="226">
        <f t="shared" si="42"/>
        <v>77.099999999999994</v>
      </c>
      <c r="AI102" s="284">
        <f t="shared" si="43"/>
        <v>0.83333333333333337</v>
      </c>
    </row>
    <row r="103" spans="1:37" x14ac:dyDescent="0.25">
      <c r="A103" s="286" t="s">
        <v>107</v>
      </c>
      <c r="B103" s="287">
        <v>24.1</v>
      </c>
      <c r="C103" s="287">
        <v>7.1</v>
      </c>
      <c r="D103" s="287">
        <v>12.8</v>
      </c>
      <c r="E103" s="287">
        <v>16.8</v>
      </c>
      <c r="F103" s="287">
        <v>31.2</v>
      </c>
      <c r="G103" s="287">
        <v>50.7</v>
      </c>
      <c r="H103" s="287">
        <v>48</v>
      </c>
      <c r="I103" s="287">
        <v>48</v>
      </c>
      <c r="J103" s="287">
        <v>49</v>
      </c>
      <c r="K103" s="287">
        <v>79</v>
      </c>
      <c r="L103" s="287">
        <v>69.099999999999994</v>
      </c>
      <c r="M103" s="287">
        <v>65.3</v>
      </c>
      <c r="N103" s="287">
        <v>59.6</v>
      </c>
      <c r="O103" s="287">
        <v>56.2</v>
      </c>
      <c r="P103" s="287">
        <v>46.5</v>
      </c>
      <c r="Q103" s="287">
        <v>49.1</v>
      </c>
      <c r="R103" s="287">
        <v>50.7</v>
      </c>
      <c r="S103" s="287">
        <v>40.799999999999997</v>
      </c>
      <c r="T103" s="287">
        <v>30.6</v>
      </c>
      <c r="U103" s="287">
        <v>62</v>
      </c>
      <c r="V103" s="287">
        <v>62</v>
      </c>
      <c r="W103" s="287">
        <v>42</v>
      </c>
      <c r="X103" s="287">
        <v>34</v>
      </c>
      <c r="Y103" s="287">
        <v>53</v>
      </c>
      <c r="Z103" s="287">
        <v>82</v>
      </c>
      <c r="AA103" s="287">
        <v>88</v>
      </c>
      <c r="AB103" s="287">
        <v>65.2</v>
      </c>
      <c r="AC103" s="287">
        <v>51</v>
      </c>
      <c r="AD103" s="287">
        <v>35</v>
      </c>
      <c r="AE103" s="287">
        <v>50.5</v>
      </c>
      <c r="AF103" s="287">
        <v>45</v>
      </c>
      <c r="AG103" s="288"/>
      <c r="AH103" s="226">
        <f t="shared" si="42"/>
        <v>88</v>
      </c>
      <c r="AI103" s="284">
        <f t="shared" si="43"/>
        <v>0.8125</v>
      </c>
    </row>
    <row r="104" spans="1:37" x14ac:dyDescent="0.25">
      <c r="A104" s="286" t="s">
        <v>108</v>
      </c>
      <c r="B104" s="287">
        <v>77.900000000000006</v>
      </c>
      <c r="C104" s="287">
        <v>-16</v>
      </c>
      <c r="D104" s="287">
        <v>-11.9</v>
      </c>
      <c r="E104" s="287">
        <v>4.2</v>
      </c>
      <c r="F104" s="287">
        <v>-2.1</v>
      </c>
      <c r="G104" s="287">
        <v>-15.1</v>
      </c>
      <c r="H104" s="287">
        <v>-4.5999999999999996</v>
      </c>
      <c r="I104" s="287">
        <v>-4.5999999999999996</v>
      </c>
      <c r="J104" s="287">
        <v>-21.2</v>
      </c>
      <c r="K104" s="287">
        <v>-2.6</v>
      </c>
      <c r="L104" s="287">
        <v>-18.2</v>
      </c>
      <c r="M104" s="287">
        <v>-31.6</v>
      </c>
      <c r="N104" s="287">
        <v>-17.399999999999999</v>
      </c>
      <c r="O104" s="287">
        <v>30.7</v>
      </c>
      <c r="P104" s="287">
        <v>31.9</v>
      </c>
      <c r="Q104" s="287">
        <v>45.3</v>
      </c>
      <c r="R104" s="287">
        <v>46</v>
      </c>
      <c r="S104" s="287">
        <v>10.199999999999999</v>
      </c>
      <c r="T104" s="287">
        <v>-9.3000000000000007</v>
      </c>
      <c r="U104" s="287">
        <v>18</v>
      </c>
      <c r="V104" s="287">
        <v>18</v>
      </c>
      <c r="W104" s="287">
        <v>11</v>
      </c>
      <c r="X104" s="287">
        <v>8.5</v>
      </c>
      <c r="Y104" s="287">
        <v>5.5</v>
      </c>
      <c r="Z104" s="287">
        <v>41</v>
      </c>
      <c r="AA104" s="287">
        <v>35</v>
      </c>
      <c r="AB104" s="287">
        <v>34.299999999999997</v>
      </c>
      <c r="AC104" s="287">
        <v>48.3</v>
      </c>
      <c r="AD104" s="287">
        <v>30.5</v>
      </c>
      <c r="AE104" s="287">
        <v>35.799999999999997</v>
      </c>
      <c r="AF104" s="287">
        <v>43.6</v>
      </c>
      <c r="AG104" s="289"/>
      <c r="AH104" s="226">
        <f t="shared" si="42"/>
        <v>48.3</v>
      </c>
      <c r="AI104" s="284">
        <f t="shared" si="43"/>
        <v>0.85416666666666663</v>
      </c>
    </row>
    <row r="105" spans="1:37" x14ac:dyDescent="0.25">
      <c r="A105" s="290" t="s">
        <v>109</v>
      </c>
      <c r="B105" s="274">
        <v>72.099999999999994</v>
      </c>
      <c r="C105" s="274">
        <v>73.5</v>
      </c>
      <c r="D105" s="274">
        <v>75.5</v>
      </c>
      <c r="E105" s="274">
        <v>66.2</v>
      </c>
      <c r="F105" s="274">
        <v>75.7</v>
      </c>
      <c r="G105" s="274">
        <v>80.400000000000006</v>
      </c>
      <c r="H105" s="274">
        <v>81</v>
      </c>
      <c r="I105" s="274">
        <v>81</v>
      </c>
      <c r="J105" s="274">
        <v>78</v>
      </c>
      <c r="K105" s="274">
        <v>75.099999999999994</v>
      </c>
      <c r="L105" s="274">
        <v>71.400000000000006</v>
      </c>
      <c r="M105" s="274">
        <v>76.599999999999994</v>
      </c>
      <c r="N105" s="274">
        <v>68.099999999999994</v>
      </c>
      <c r="O105" s="274">
        <v>67.099999999999994</v>
      </c>
      <c r="P105" s="274">
        <v>46.4</v>
      </c>
      <c r="Q105" s="274">
        <v>69</v>
      </c>
      <c r="R105" s="274">
        <v>69.3</v>
      </c>
      <c r="S105" s="274">
        <v>68.8</v>
      </c>
      <c r="T105" s="274">
        <v>68.2</v>
      </c>
      <c r="U105" s="274">
        <v>105</v>
      </c>
      <c r="V105" s="274">
        <v>105</v>
      </c>
      <c r="W105" s="274">
        <v>104</v>
      </c>
      <c r="X105" s="274">
        <v>99</v>
      </c>
      <c r="Y105" s="274">
        <v>90</v>
      </c>
      <c r="Z105" s="274">
        <v>90</v>
      </c>
      <c r="AA105" s="274">
        <v>93</v>
      </c>
      <c r="AB105" s="274">
        <v>94.8</v>
      </c>
      <c r="AC105" s="274">
        <v>99.4</v>
      </c>
      <c r="AD105" s="274">
        <v>95.2</v>
      </c>
      <c r="AE105" s="274">
        <v>74.2</v>
      </c>
      <c r="AF105" s="274">
        <v>105.5</v>
      </c>
      <c r="AG105" s="289"/>
      <c r="AH105" s="226">
        <f t="shared" si="42"/>
        <v>105.5</v>
      </c>
      <c r="AI105" s="284">
        <f t="shared" si="43"/>
        <v>0.95833333333333304</v>
      </c>
    </row>
    <row r="106" spans="1:37" ht="15.75" thickBot="1" x14ac:dyDescent="0.3">
      <c r="A106" s="290" t="s">
        <v>110</v>
      </c>
      <c r="B106" s="274">
        <v>89.5</v>
      </c>
      <c r="C106" s="274">
        <v>91.3</v>
      </c>
      <c r="D106" s="274">
        <v>95.8</v>
      </c>
      <c r="E106" s="274">
        <v>91.1</v>
      </c>
      <c r="F106" s="274">
        <v>88.3</v>
      </c>
      <c r="G106" s="274">
        <v>83</v>
      </c>
      <c r="H106" s="274">
        <v>82</v>
      </c>
      <c r="I106" s="274">
        <v>82</v>
      </c>
      <c r="J106" s="274">
        <v>59.7</v>
      </c>
      <c r="K106" s="274">
        <v>51</v>
      </c>
      <c r="L106" s="274">
        <v>62.6</v>
      </c>
      <c r="M106" s="274">
        <v>66.099999999999994</v>
      </c>
      <c r="N106" s="274">
        <v>62.7</v>
      </c>
      <c r="O106" s="274">
        <v>59.3</v>
      </c>
      <c r="P106" s="274">
        <v>59</v>
      </c>
      <c r="Q106" s="274">
        <v>58.8</v>
      </c>
      <c r="R106" s="274">
        <v>59.4</v>
      </c>
      <c r="S106" s="274">
        <v>74.900000000000006</v>
      </c>
      <c r="T106" s="274">
        <v>80.7</v>
      </c>
      <c r="U106" s="274">
        <v>47</v>
      </c>
      <c r="V106" s="274">
        <v>47</v>
      </c>
      <c r="W106" s="274">
        <v>61</v>
      </c>
      <c r="X106" s="274">
        <v>65</v>
      </c>
      <c r="Y106" s="274">
        <v>60</v>
      </c>
      <c r="Z106" s="274">
        <v>33</v>
      </c>
      <c r="AA106" s="274">
        <v>24</v>
      </c>
      <c r="AB106" s="274">
        <v>27.3</v>
      </c>
      <c r="AC106" s="274">
        <v>46.6</v>
      </c>
      <c r="AD106" s="274">
        <v>67.900000000000006</v>
      </c>
      <c r="AE106" s="274">
        <v>71.2</v>
      </c>
      <c r="AF106" s="274">
        <v>73.900000000000006</v>
      </c>
      <c r="AG106" s="289"/>
      <c r="AH106" s="226">
        <f t="shared" si="42"/>
        <v>95.8</v>
      </c>
      <c r="AI106" s="284">
        <f t="shared" si="43"/>
        <v>8.3333333333333301E-2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44">SUM(C108:C212)</f>
        <v>0</v>
      </c>
      <c r="D213" s="307">
        <f t="shared" si="44"/>
        <v>0</v>
      </c>
      <c r="E213" s="307">
        <f t="shared" si="44"/>
        <v>0</v>
      </c>
      <c r="F213" s="307">
        <f t="shared" si="44"/>
        <v>0</v>
      </c>
      <c r="G213" s="307">
        <f t="shared" si="44"/>
        <v>0</v>
      </c>
      <c r="H213" s="307">
        <f t="shared" si="44"/>
        <v>0</v>
      </c>
      <c r="I213" s="307">
        <f t="shared" si="44"/>
        <v>0</v>
      </c>
      <c r="J213" s="307">
        <f t="shared" si="44"/>
        <v>0</v>
      </c>
      <c r="K213" s="307">
        <f t="shared" si="44"/>
        <v>0</v>
      </c>
      <c r="L213" s="307">
        <f t="shared" si="44"/>
        <v>0</v>
      </c>
      <c r="M213" s="307">
        <f t="shared" si="44"/>
        <v>0</v>
      </c>
      <c r="N213" s="307">
        <f t="shared" si="44"/>
        <v>0</v>
      </c>
      <c r="O213" s="307">
        <f t="shared" si="44"/>
        <v>0</v>
      </c>
      <c r="P213" s="307">
        <f t="shared" si="44"/>
        <v>0</v>
      </c>
      <c r="Q213" s="307">
        <f t="shared" si="44"/>
        <v>0</v>
      </c>
      <c r="R213" s="307">
        <f t="shared" si="44"/>
        <v>0</v>
      </c>
      <c r="S213" s="307">
        <f t="shared" si="44"/>
        <v>0</v>
      </c>
      <c r="T213" s="307">
        <f t="shared" si="44"/>
        <v>0</v>
      </c>
      <c r="U213" s="307">
        <f t="shared" si="44"/>
        <v>0</v>
      </c>
      <c r="V213" s="307">
        <f t="shared" si="44"/>
        <v>0</v>
      </c>
      <c r="W213" s="307">
        <f t="shared" si="44"/>
        <v>0</v>
      </c>
      <c r="X213" s="307">
        <f t="shared" si="44"/>
        <v>0</v>
      </c>
      <c r="Y213" s="307">
        <f t="shared" si="44"/>
        <v>0</v>
      </c>
      <c r="Z213" s="307">
        <f t="shared" si="44"/>
        <v>0</v>
      </c>
      <c r="AA213" s="307">
        <f t="shared" si="44"/>
        <v>0</v>
      </c>
      <c r="AB213" s="307">
        <f t="shared" si="44"/>
        <v>0</v>
      </c>
      <c r="AC213" s="307">
        <f t="shared" si="44"/>
        <v>0</v>
      </c>
      <c r="AD213" s="307">
        <f t="shared" si="44"/>
        <v>0</v>
      </c>
      <c r="AE213" s="307">
        <f t="shared" si="44"/>
        <v>0</v>
      </c>
      <c r="AF213" s="308">
        <f t="shared" si="44"/>
        <v>0</v>
      </c>
      <c r="AG213" s="309">
        <f t="shared" si="44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45">AF215</f>
        <v>0</v>
      </c>
      <c r="C215" s="312">
        <v>0.3</v>
      </c>
      <c r="D215" s="312">
        <f t="shared" ref="D215:P220" si="46">C215</f>
        <v>0.3</v>
      </c>
      <c r="E215" s="312">
        <f t="shared" si="46"/>
        <v>0.3</v>
      </c>
      <c r="F215" s="312">
        <f t="shared" si="46"/>
        <v>0.3</v>
      </c>
      <c r="G215" s="312">
        <f t="shared" si="46"/>
        <v>0.3</v>
      </c>
      <c r="H215" s="312">
        <f t="shared" si="46"/>
        <v>0.3</v>
      </c>
      <c r="I215" s="312">
        <f t="shared" si="46"/>
        <v>0.3</v>
      </c>
      <c r="J215" s="312">
        <f t="shared" si="46"/>
        <v>0.3</v>
      </c>
      <c r="K215" s="312">
        <f t="shared" si="46"/>
        <v>0.3</v>
      </c>
      <c r="L215" s="312">
        <f t="shared" si="46"/>
        <v>0.3</v>
      </c>
      <c r="M215" s="312">
        <f t="shared" si="46"/>
        <v>0.3</v>
      </c>
      <c r="N215" s="312">
        <f t="shared" si="46"/>
        <v>0.3</v>
      </c>
      <c r="O215" s="312">
        <f t="shared" si="46"/>
        <v>0.3</v>
      </c>
      <c r="P215" s="312">
        <f t="shared" si="46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45"/>
        <v>0</v>
      </c>
      <c r="C216" s="299">
        <v>0.4</v>
      </c>
      <c r="D216" s="299">
        <f t="shared" si="46"/>
        <v>0.4</v>
      </c>
      <c r="E216" s="299">
        <f t="shared" si="46"/>
        <v>0.4</v>
      </c>
      <c r="F216" s="299">
        <f t="shared" si="46"/>
        <v>0.4</v>
      </c>
      <c r="G216" s="299">
        <f t="shared" si="46"/>
        <v>0.4</v>
      </c>
      <c r="H216" s="299">
        <f t="shared" si="46"/>
        <v>0.4</v>
      </c>
      <c r="I216" s="299">
        <f t="shared" si="46"/>
        <v>0.4</v>
      </c>
      <c r="J216" s="299">
        <f t="shared" si="46"/>
        <v>0.4</v>
      </c>
      <c r="K216" s="299">
        <f t="shared" si="46"/>
        <v>0.4</v>
      </c>
      <c r="L216" s="299">
        <f t="shared" si="46"/>
        <v>0.4</v>
      </c>
      <c r="M216" s="299">
        <f t="shared" si="46"/>
        <v>0.4</v>
      </c>
      <c r="N216" s="299">
        <f t="shared" si="46"/>
        <v>0.4</v>
      </c>
      <c r="O216" s="299">
        <f t="shared" si="46"/>
        <v>0.4</v>
      </c>
      <c r="P216" s="299">
        <f t="shared" si="46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45"/>
        <v>0</v>
      </c>
      <c r="C217" s="299">
        <v>1.5</v>
      </c>
      <c r="D217" s="299">
        <f t="shared" si="46"/>
        <v>1.5</v>
      </c>
      <c r="E217" s="299">
        <f t="shared" si="46"/>
        <v>1.5</v>
      </c>
      <c r="F217" s="299">
        <f t="shared" si="46"/>
        <v>1.5</v>
      </c>
      <c r="G217" s="299">
        <f t="shared" si="46"/>
        <v>1.5</v>
      </c>
      <c r="H217" s="299">
        <f t="shared" si="46"/>
        <v>1.5</v>
      </c>
      <c r="I217" s="299">
        <f t="shared" si="46"/>
        <v>1.5</v>
      </c>
      <c r="J217" s="299">
        <f t="shared" si="46"/>
        <v>1.5</v>
      </c>
      <c r="K217" s="299">
        <f t="shared" si="46"/>
        <v>1.5</v>
      </c>
      <c r="L217" s="299">
        <f t="shared" si="46"/>
        <v>1.5</v>
      </c>
      <c r="M217" s="299">
        <f t="shared" si="46"/>
        <v>1.5</v>
      </c>
      <c r="N217" s="299">
        <f t="shared" si="46"/>
        <v>1.5</v>
      </c>
      <c r="O217" s="299">
        <f t="shared" si="46"/>
        <v>1.5</v>
      </c>
      <c r="P217" s="299">
        <f t="shared" si="46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45"/>
        <v>0</v>
      </c>
      <c r="C218" s="299">
        <v>0.3</v>
      </c>
      <c r="D218" s="299">
        <f t="shared" si="46"/>
        <v>0.3</v>
      </c>
      <c r="E218" s="299">
        <f t="shared" si="46"/>
        <v>0.3</v>
      </c>
      <c r="F218" s="299">
        <f t="shared" si="46"/>
        <v>0.3</v>
      </c>
      <c r="G218" s="299">
        <f t="shared" si="46"/>
        <v>0.3</v>
      </c>
      <c r="H218" s="299">
        <f t="shared" si="46"/>
        <v>0.3</v>
      </c>
      <c r="I218" s="299">
        <f t="shared" si="46"/>
        <v>0.3</v>
      </c>
      <c r="J218" s="299">
        <f t="shared" si="46"/>
        <v>0.3</v>
      </c>
      <c r="K218" s="299">
        <f t="shared" si="46"/>
        <v>0.3</v>
      </c>
      <c r="L218" s="299">
        <f t="shared" si="46"/>
        <v>0.3</v>
      </c>
      <c r="M218" s="299">
        <f t="shared" si="46"/>
        <v>0.3</v>
      </c>
      <c r="N218" s="299">
        <f t="shared" si="46"/>
        <v>0.3</v>
      </c>
      <c r="O218" s="299">
        <f t="shared" si="46"/>
        <v>0.3</v>
      </c>
      <c r="P218" s="299">
        <f t="shared" si="46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45"/>
        <v>0</v>
      </c>
      <c r="C219" s="299">
        <v>0.4</v>
      </c>
      <c r="D219" s="299">
        <f t="shared" si="46"/>
        <v>0.4</v>
      </c>
      <c r="E219" s="299">
        <f t="shared" si="46"/>
        <v>0.4</v>
      </c>
      <c r="F219" s="299">
        <f t="shared" si="46"/>
        <v>0.4</v>
      </c>
      <c r="G219" s="299">
        <f t="shared" si="46"/>
        <v>0.4</v>
      </c>
      <c r="H219" s="299">
        <f t="shared" si="46"/>
        <v>0.4</v>
      </c>
      <c r="I219" s="299">
        <f t="shared" si="46"/>
        <v>0.4</v>
      </c>
      <c r="J219" s="299">
        <f t="shared" si="46"/>
        <v>0.4</v>
      </c>
      <c r="K219" s="299">
        <f t="shared" si="46"/>
        <v>0.4</v>
      </c>
      <c r="L219" s="299">
        <f t="shared" si="46"/>
        <v>0.4</v>
      </c>
      <c r="M219" s="299">
        <f t="shared" si="46"/>
        <v>0.4</v>
      </c>
      <c r="N219" s="299">
        <f t="shared" si="46"/>
        <v>0.4</v>
      </c>
      <c r="O219" s="299">
        <f t="shared" si="46"/>
        <v>0.4</v>
      </c>
      <c r="P219" s="299">
        <f t="shared" si="46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45"/>
        <v>0</v>
      </c>
      <c r="C220" s="303">
        <v>0.64</v>
      </c>
      <c r="D220" s="303">
        <f t="shared" si="46"/>
        <v>0.64</v>
      </c>
      <c r="E220" s="303">
        <f t="shared" si="46"/>
        <v>0.64</v>
      </c>
      <c r="F220" s="303">
        <f t="shared" si="46"/>
        <v>0.64</v>
      </c>
      <c r="G220" s="303">
        <f t="shared" si="46"/>
        <v>0.64</v>
      </c>
      <c r="H220" s="303">
        <f t="shared" si="46"/>
        <v>0.64</v>
      </c>
      <c r="I220" s="303">
        <f t="shared" si="46"/>
        <v>0.64</v>
      </c>
      <c r="J220" s="303">
        <f t="shared" si="46"/>
        <v>0.64</v>
      </c>
      <c r="K220" s="303">
        <f t="shared" si="46"/>
        <v>0.64</v>
      </c>
      <c r="L220" s="303">
        <f t="shared" si="46"/>
        <v>0.64</v>
      </c>
      <c r="M220" s="303">
        <f t="shared" si="46"/>
        <v>0.64</v>
      </c>
      <c r="N220" s="303">
        <f t="shared" si="46"/>
        <v>0.64</v>
      </c>
      <c r="O220" s="303">
        <f t="shared" si="46"/>
        <v>0.64</v>
      </c>
      <c r="P220" s="303">
        <f t="shared" si="46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47">SUM(D215:D220)</f>
        <v>3.54</v>
      </c>
      <c r="E221" s="307">
        <f t="shared" si="47"/>
        <v>3.54</v>
      </c>
      <c r="F221" s="307">
        <f t="shared" si="47"/>
        <v>3.54</v>
      </c>
      <c r="G221" s="307">
        <f t="shared" si="47"/>
        <v>3.54</v>
      </c>
      <c r="H221" s="307">
        <f t="shared" si="47"/>
        <v>3.54</v>
      </c>
      <c r="I221" s="307">
        <f t="shared" si="47"/>
        <v>3.54</v>
      </c>
      <c r="J221" s="307">
        <f t="shared" si="47"/>
        <v>3.54</v>
      </c>
      <c r="K221" s="307">
        <f t="shared" si="47"/>
        <v>3.54</v>
      </c>
      <c r="L221" s="307">
        <f t="shared" si="47"/>
        <v>3.54</v>
      </c>
      <c r="M221" s="307">
        <f>SUM(M215:M220)</f>
        <v>3.54</v>
      </c>
      <c r="N221" s="307">
        <f t="shared" ref="N221:S221" si="48">SUM(N215:N220)</f>
        <v>3.54</v>
      </c>
      <c r="O221" s="307">
        <f t="shared" si="48"/>
        <v>3.54</v>
      </c>
      <c r="P221" s="307">
        <f t="shared" si="48"/>
        <v>3.54</v>
      </c>
      <c r="Q221" s="307">
        <f t="shared" si="48"/>
        <v>0</v>
      </c>
      <c r="R221" s="307">
        <f t="shared" si="48"/>
        <v>0</v>
      </c>
      <c r="S221" s="307">
        <f t="shared" si="48"/>
        <v>0</v>
      </c>
      <c r="T221" s="307">
        <f>SUM(T215:T220)</f>
        <v>0</v>
      </c>
      <c r="U221" s="307">
        <f t="shared" ref="U221:AG221" si="49">SUM(U215:U220)</f>
        <v>0</v>
      </c>
      <c r="V221" s="307">
        <f t="shared" si="49"/>
        <v>0</v>
      </c>
      <c r="W221" s="307">
        <f t="shared" si="49"/>
        <v>0</v>
      </c>
      <c r="X221" s="307">
        <f t="shared" si="49"/>
        <v>0</v>
      </c>
      <c r="Y221" s="307">
        <f t="shared" si="49"/>
        <v>0</v>
      </c>
      <c r="Z221" s="307">
        <f t="shared" si="49"/>
        <v>0</v>
      </c>
      <c r="AA221" s="307">
        <f t="shared" si="49"/>
        <v>0</v>
      </c>
      <c r="AB221" s="307">
        <f t="shared" si="49"/>
        <v>0</v>
      </c>
      <c r="AC221" s="307">
        <f t="shared" si="49"/>
        <v>0</v>
      </c>
      <c r="AD221" s="307">
        <f t="shared" si="49"/>
        <v>0</v>
      </c>
      <c r="AE221" s="307">
        <f t="shared" si="49"/>
        <v>0</v>
      </c>
      <c r="AF221" s="307">
        <f t="shared" si="49"/>
        <v>0</v>
      </c>
      <c r="AG221" s="317">
        <f t="shared" si="49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1785.87</v>
      </c>
      <c r="C230" s="333">
        <f>INDEX(G9:N9,1,MATCH(MAX(G79:N79),G79:N79,0))</f>
        <v>0.375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24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2079/02/24)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2079/02/24)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50">B79</f>
        <v>1741.2399999999998</v>
      </c>
      <c r="U235" s="343">
        <f t="shared" si="50"/>
        <v>1690.24</v>
      </c>
      <c r="V235" s="343">
        <f t="shared" si="50"/>
        <v>1582.0400000000002</v>
      </c>
      <c r="W235" s="343">
        <f t="shared" si="50"/>
        <v>1652.5400000000002</v>
      </c>
      <c r="X235" s="343">
        <f t="shared" si="50"/>
        <v>1664.4000000000003</v>
      </c>
      <c r="Y235" s="343">
        <f t="shared" si="50"/>
        <v>1683.5400000000002</v>
      </c>
      <c r="Z235" s="343">
        <f t="shared" si="50"/>
        <v>1683.2</v>
      </c>
      <c r="AA235" s="343">
        <f t="shared" si="50"/>
        <v>1696.64</v>
      </c>
      <c r="AB235" s="343">
        <f t="shared" si="50"/>
        <v>1707.8400000000001</v>
      </c>
      <c r="AC235" s="343">
        <f t="shared" si="50"/>
        <v>1743.5400000000002</v>
      </c>
      <c r="AD235" s="343">
        <f t="shared" si="50"/>
        <v>1765.21</v>
      </c>
      <c r="AE235" s="343">
        <f t="shared" si="50"/>
        <v>1785.3799999999999</v>
      </c>
      <c r="AF235" s="343">
        <f t="shared" si="50"/>
        <v>1785.87</v>
      </c>
      <c r="AG235" s="343">
        <f t="shared" si="50"/>
        <v>1751.74</v>
      </c>
      <c r="AH235" s="343">
        <f t="shared" si="50"/>
        <v>1728.8200000000002</v>
      </c>
      <c r="AI235" s="343">
        <f t="shared" si="50"/>
        <v>1739.6499999999999</v>
      </c>
      <c r="AJ235" s="343">
        <f t="shared" si="50"/>
        <v>1733.69</v>
      </c>
      <c r="AK235" s="343">
        <f t="shared" si="50"/>
        <v>1737.94</v>
      </c>
      <c r="AL235" s="343">
        <f t="shared" si="50"/>
        <v>1783.23</v>
      </c>
      <c r="AM235" s="343">
        <f t="shared" si="50"/>
        <v>1735.24</v>
      </c>
      <c r="AN235" s="343">
        <f t="shared" si="50"/>
        <v>1755.74</v>
      </c>
      <c r="AO235" s="343">
        <f t="shared" si="50"/>
        <v>1767.24</v>
      </c>
      <c r="AP235" s="343">
        <f t="shared" si="50"/>
        <v>1787.74</v>
      </c>
      <c r="AQ235" s="343">
        <f t="shared" si="50"/>
        <v>1803.14</v>
      </c>
      <c r="AR235" s="343">
        <f t="shared" si="50"/>
        <v>1847.14</v>
      </c>
      <c r="AS235" s="343">
        <f t="shared" si="50"/>
        <v>1830.24</v>
      </c>
      <c r="AT235" s="343">
        <f t="shared" si="50"/>
        <v>1737.9299999999998</v>
      </c>
      <c r="AU235" s="343">
        <f t="shared" si="50"/>
        <v>1798.26</v>
      </c>
      <c r="AV235" s="343">
        <f t="shared" si="50"/>
        <v>1798.16</v>
      </c>
      <c r="AW235" s="343">
        <f t="shared" si="50"/>
        <v>1789.45</v>
      </c>
      <c r="AX235" s="343">
        <f t="shared" si="50"/>
        <v>1770.74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51">C220</f>
        <v>0.64</v>
      </c>
      <c r="C256" s="346">
        <f t="shared" si="51"/>
        <v>0.64</v>
      </c>
      <c r="D256" s="346">
        <f t="shared" si="51"/>
        <v>0.64</v>
      </c>
      <c r="E256" s="346">
        <f t="shared" si="51"/>
        <v>0.64</v>
      </c>
      <c r="F256" s="346">
        <f t="shared" si="51"/>
        <v>0.64</v>
      </c>
      <c r="G256" s="346">
        <f t="shared" si="51"/>
        <v>0.64</v>
      </c>
      <c r="H256" s="346">
        <f t="shared" si="51"/>
        <v>0.64</v>
      </c>
      <c r="I256" s="346">
        <f t="shared" si="51"/>
        <v>0.64</v>
      </c>
      <c r="J256" s="346">
        <f t="shared" si="51"/>
        <v>0.64</v>
      </c>
      <c r="K256" s="346">
        <f t="shared" si="51"/>
        <v>0.64</v>
      </c>
      <c r="L256" s="346">
        <f t="shared" si="51"/>
        <v>0.64</v>
      </c>
      <c r="M256" s="346">
        <f t="shared" si="51"/>
        <v>0.64</v>
      </c>
      <c r="N256" s="346">
        <f t="shared" si="51"/>
        <v>0.64</v>
      </c>
      <c r="O256" s="346">
        <f t="shared" si="51"/>
        <v>0.64</v>
      </c>
      <c r="P256" s="346">
        <f t="shared" si="51"/>
        <v>0</v>
      </c>
      <c r="Q256" s="346">
        <f t="shared" si="51"/>
        <v>0</v>
      </c>
      <c r="R256" s="346">
        <f t="shared" si="51"/>
        <v>0</v>
      </c>
      <c r="S256" s="346">
        <f t="shared" si="51"/>
        <v>0</v>
      </c>
      <c r="T256" s="346">
        <f t="shared" si="51"/>
        <v>0</v>
      </c>
      <c r="U256" s="346">
        <f t="shared" si="51"/>
        <v>0</v>
      </c>
      <c r="V256" s="346">
        <f t="shared" si="51"/>
        <v>0</v>
      </c>
      <c r="W256" s="346">
        <f t="shared" si="51"/>
        <v>0</v>
      </c>
      <c r="X256" s="346">
        <f t="shared" si="51"/>
        <v>0</v>
      </c>
      <c r="Y256" s="346">
        <f t="shared" si="51"/>
        <v>0</v>
      </c>
      <c r="Z256" s="346">
        <f t="shared" si="51"/>
        <v>0</v>
      </c>
      <c r="AA256" s="346">
        <f t="shared" si="51"/>
        <v>0</v>
      </c>
      <c r="AB256" s="346">
        <f t="shared" si="51"/>
        <v>0</v>
      </c>
      <c r="AC256" s="346">
        <f t="shared" si="51"/>
        <v>0</v>
      </c>
      <c r="AD256" s="346">
        <f t="shared" si="51"/>
        <v>0</v>
      </c>
      <c r="AE256" s="346">
        <f t="shared" si="51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52">IF(C224&lt;100,"",C224-520)</f>
        <v/>
      </c>
      <c r="D257" s="347" t="str">
        <f t="shared" si="52"/>
        <v/>
      </c>
      <c r="E257" s="347" t="str">
        <f t="shared" si="52"/>
        <v/>
      </c>
      <c r="F257" s="347" t="str">
        <f t="shared" si="52"/>
        <v/>
      </c>
      <c r="G257" s="347" t="str">
        <f t="shared" si="52"/>
        <v/>
      </c>
      <c r="H257" s="347" t="str">
        <f t="shared" si="52"/>
        <v/>
      </c>
      <c r="I257" s="347" t="str">
        <f t="shared" si="52"/>
        <v/>
      </c>
      <c r="J257" s="347" t="str">
        <f t="shared" si="52"/>
        <v/>
      </c>
      <c r="K257" s="347" t="str">
        <f t="shared" si="52"/>
        <v/>
      </c>
      <c r="L257" s="347" t="str">
        <f t="shared" si="52"/>
        <v/>
      </c>
      <c r="M257" s="347" t="str">
        <f t="shared" si="52"/>
        <v/>
      </c>
      <c r="N257" s="347" t="str">
        <f t="shared" si="52"/>
        <v/>
      </c>
      <c r="O257" s="347" t="str">
        <f t="shared" si="52"/>
        <v/>
      </c>
      <c r="P257" s="347" t="str">
        <f t="shared" si="52"/>
        <v/>
      </c>
      <c r="Q257" s="347" t="str">
        <f t="shared" si="52"/>
        <v/>
      </c>
      <c r="R257" s="347" t="str">
        <f t="shared" si="52"/>
        <v/>
      </c>
      <c r="S257" s="347" t="str">
        <f t="shared" si="52"/>
        <v/>
      </c>
      <c r="T257" s="347" t="str">
        <f t="shared" si="52"/>
        <v/>
      </c>
      <c r="U257" s="347" t="str">
        <f t="shared" si="52"/>
        <v/>
      </c>
      <c r="V257" s="347" t="str">
        <f t="shared" si="52"/>
        <v/>
      </c>
      <c r="W257" s="347" t="str">
        <f t="shared" si="52"/>
        <v/>
      </c>
      <c r="X257" s="347" t="str">
        <f t="shared" si="52"/>
        <v/>
      </c>
      <c r="Y257" s="347" t="str">
        <f t="shared" si="52"/>
        <v/>
      </c>
      <c r="Z257" s="347" t="str">
        <f t="shared" si="52"/>
        <v/>
      </c>
      <c r="AA257" s="347" t="str">
        <f t="shared" si="52"/>
        <v/>
      </c>
      <c r="AB257" s="347" t="str">
        <f t="shared" si="52"/>
        <v/>
      </c>
      <c r="AC257" s="347" t="str">
        <f t="shared" si="52"/>
        <v/>
      </c>
      <c r="AD257" s="347" t="str">
        <f t="shared" si="52"/>
        <v/>
      </c>
      <c r="AE257" s="347" t="str">
        <f t="shared" si="52"/>
        <v/>
      </c>
      <c r="AF257" s="347" t="str">
        <f t="shared" si="52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53">IF(B225&lt;100,"",B225-620)</f>
        <v/>
      </c>
      <c r="C258" s="347" t="str">
        <f t="shared" si="53"/>
        <v/>
      </c>
      <c r="D258" s="347" t="str">
        <f t="shared" si="53"/>
        <v/>
      </c>
      <c r="E258" s="347" t="str">
        <f t="shared" si="53"/>
        <v/>
      </c>
      <c r="F258" s="347" t="str">
        <f t="shared" si="53"/>
        <v/>
      </c>
      <c r="G258" s="347" t="str">
        <f t="shared" si="53"/>
        <v/>
      </c>
      <c r="H258" s="347" t="str">
        <f t="shared" si="53"/>
        <v/>
      </c>
      <c r="I258" s="347" t="str">
        <f t="shared" si="53"/>
        <v/>
      </c>
      <c r="J258" s="347" t="str">
        <f t="shared" si="53"/>
        <v/>
      </c>
      <c r="K258" s="347" t="str">
        <f t="shared" si="53"/>
        <v/>
      </c>
      <c r="L258" s="347" t="str">
        <f t="shared" si="53"/>
        <v/>
      </c>
      <c r="M258" s="347" t="str">
        <f t="shared" si="53"/>
        <v/>
      </c>
      <c r="N258" s="347" t="str">
        <f t="shared" si="53"/>
        <v/>
      </c>
      <c r="O258" s="347" t="str">
        <f t="shared" si="53"/>
        <v/>
      </c>
      <c r="P258" s="347" t="str">
        <f t="shared" si="53"/>
        <v/>
      </c>
      <c r="Q258" s="347" t="str">
        <f t="shared" si="53"/>
        <v/>
      </c>
      <c r="R258" s="347" t="str">
        <f t="shared" si="53"/>
        <v/>
      </c>
      <c r="S258" s="347" t="str">
        <f t="shared" si="53"/>
        <v/>
      </c>
      <c r="T258" s="347" t="str">
        <f t="shared" si="53"/>
        <v/>
      </c>
      <c r="U258" s="347" t="str">
        <f t="shared" si="53"/>
        <v/>
      </c>
      <c r="V258" s="347" t="str">
        <f t="shared" si="53"/>
        <v/>
      </c>
      <c r="W258" s="347" t="str">
        <f t="shared" si="53"/>
        <v/>
      </c>
      <c r="X258" s="347" t="str">
        <f t="shared" si="53"/>
        <v/>
      </c>
      <c r="Y258" s="347" t="str">
        <f t="shared" si="53"/>
        <v/>
      </c>
      <c r="Z258" s="347" t="str">
        <f t="shared" si="53"/>
        <v/>
      </c>
      <c r="AA258" s="347" t="str">
        <f t="shared" si="53"/>
        <v/>
      </c>
      <c r="AB258" s="347" t="str">
        <f t="shared" si="53"/>
        <v/>
      </c>
      <c r="AC258" s="347" t="str">
        <f t="shared" si="53"/>
        <v/>
      </c>
      <c r="AD258" s="347" t="str">
        <f t="shared" si="53"/>
        <v/>
      </c>
      <c r="AE258" s="347" t="str">
        <f t="shared" si="53"/>
        <v/>
      </c>
      <c r="AF258" s="347" t="str">
        <f t="shared" si="53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54">IF(B226&lt;100,"",B226-330)</f>
        <v/>
      </c>
      <c r="C259" s="347" t="str">
        <f t="shared" si="54"/>
        <v/>
      </c>
      <c r="D259" s="347" t="str">
        <f t="shared" si="54"/>
        <v/>
      </c>
      <c r="E259" s="347" t="str">
        <f t="shared" si="54"/>
        <v/>
      </c>
      <c r="F259" s="347" t="str">
        <f t="shared" si="54"/>
        <v/>
      </c>
      <c r="G259" s="347" t="str">
        <f t="shared" si="54"/>
        <v/>
      </c>
      <c r="H259" s="347" t="str">
        <f t="shared" si="54"/>
        <v/>
      </c>
      <c r="I259" s="347" t="str">
        <f t="shared" si="54"/>
        <v/>
      </c>
      <c r="J259" s="347" t="str">
        <f t="shared" si="54"/>
        <v/>
      </c>
      <c r="K259" s="347" t="str">
        <f t="shared" si="54"/>
        <v/>
      </c>
      <c r="L259" s="347" t="str">
        <f t="shared" si="54"/>
        <v/>
      </c>
      <c r="M259" s="347" t="str">
        <f t="shared" si="54"/>
        <v/>
      </c>
      <c r="N259" s="347" t="str">
        <f t="shared" si="54"/>
        <v/>
      </c>
      <c r="O259" s="347" t="str">
        <f t="shared" si="54"/>
        <v/>
      </c>
      <c r="P259" s="347" t="str">
        <f t="shared" si="54"/>
        <v/>
      </c>
      <c r="Q259" s="347" t="str">
        <f t="shared" si="54"/>
        <v/>
      </c>
      <c r="R259" s="347" t="str">
        <f t="shared" si="54"/>
        <v/>
      </c>
      <c r="S259" s="347" t="str">
        <f t="shared" si="54"/>
        <v/>
      </c>
      <c r="T259" s="347" t="str">
        <f t="shared" si="54"/>
        <v/>
      </c>
      <c r="U259" s="347" t="str">
        <f t="shared" si="54"/>
        <v/>
      </c>
      <c r="V259" s="347" t="str">
        <f t="shared" si="54"/>
        <v/>
      </c>
      <c r="W259" s="347" t="str">
        <f t="shared" si="54"/>
        <v/>
      </c>
      <c r="X259" s="347" t="str">
        <f t="shared" si="54"/>
        <v/>
      </c>
      <c r="Y259" s="347" t="str">
        <f t="shared" si="54"/>
        <v/>
      </c>
      <c r="Z259" s="347" t="str">
        <f t="shared" si="54"/>
        <v/>
      </c>
      <c r="AA259" s="347" t="str">
        <f t="shared" si="54"/>
        <v/>
      </c>
      <c r="AB259" s="347" t="str">
        <f t="shared" si="54"/>
        <v/>
      </c>
      <c r="AC259" s="347" t="str">
        <f t="shared" si="54"/>
        <v/>
      </c>
      <c r="AD259" s="347" t="str">
        <f t="shared" si="54"/>
        <v/>
      </c>
      <c r="AE259" s="347" t="str">
        <f t="shared" si="54"/>
        <v/>
      </c>
      <c r="AF259" s="347" t="str">
        <f t="shared" si="54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55">IF(C227&lt;100,"",C227-1500)</f>
        <v/>
      </c>
      <c r="D260" s="347" t="str">
        <f t="shared" si="55"/>
        <v/>
      </c>
      <c r="E260" s="347" t="str">
        <f t="shared" si="55"/>
        <v/>
      </c>
      <c r="F260" s="347" t="str">
        <f t="shared" si="55"/>
        <v/>
      </c>
      <c r="G260" s="347" t="str">
        <f t="shared" si="55"/>
        <v/>
      </c>
      <c r="H260" s="347" t="str">
        <f t="shared" si="55"/>
        <v/>
      </c>
      <c r="I260" s="347" t="str">
        <f t="shared" si="55"/>
        <v/>
      </c>
      <c r="J260" s="347" t="str">
        <f t="shared" si="55"/>
        <v/>
      </c>
      <c r="K260" s="347" t="str">
        <f t="shared" si="55"/>
        <v/>
      </c>
      <c r="L260" s="347" t="str">
        <f t="shared" si="55"/>
        <v/>
      </c>
      <c r="M260" s="347" t="str">
        <f t="shared" si="55"/>
        <v/>
      </c>
      <c r="N260" s="347" t="str">
        <f t="shared" si="55"/>
        <v/>
      </c>
      <c r="O260" s="347" t="str">
        <f t="shared" si="55"/>
        <v/>
      </c>
      <c r="P260" s="347" t="str">
        <f t="shared" si="55"/>
        <v/>
      </c>
      <c r="Q260" s="347" t="str">
        <f t="shared" si="55"/>
        <v/>
      </c>
      <c r="R260" s="347" t="str">
        <f t="shared" si="55"/>
        <v/>
      </c>
      <c r="S260" s="347" t="str">
        <f t="shared" si="55"/>
        <v/>
      </c>
      <c r="T260" s="347" t="str">
        <f t="shared" si="55"/>
        <v/>
      </c>
      <c r="U260" s="347" t="str">
        <f t="shared" si="55"/>
        <v/>
      </c>
      <c r="V260" s="347" t="str">
        <f t="shared" si="55"/>
        <v/>
      </c>
      <c r="W260" s="347" t="str">
        <f t="shared" si="55"/>
        <v/>
      </c>
      <c r="X260" s="347" t="str">
        <f t="shared" si="55"/>
        <v/>
      </c>
      <c r="Y260" s="347" t="str">
        <f t="shared" si="55"/>
        <v/>
      </c>
      <c r="Z260" s="347" t="str">
        <f t="shared" si="55"/>
        <v/>
      </c>
      <c r="AA260" s="347" t="str">
        <f t="shared" si="55"/>
        <v/>
      </c>
      <c r="AB260" s="347" t="str">
        <f t="shared" si="55"/>
        <v/>
      </c>
      <c r="AC260" s="347" t="str">
        <f t="shared" si="55"/>
        <v/>
      </c>
      <c r="AD260" s="347" t="str">
        <f t="shared" si="55"/>
        <v/>
      </c>
      <c r="AE260" s="347" t="str">
        <f t="shared" si="55"/>
        <v/>
      </c>
      <c r="AF260" s="347" t="str">
        <f t="shared" si="55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7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 T11:AF11">
    <cfRule type="expression" dxfId="2871" priority="433">
      <formula>B$9&gt;=20/24</formula>
    </cfRule>
    <cfRule type="expression" dxfId="2870" priority="434">
      <formula>AND(B$9&gt;=14/24,B$9&lt;20/24)</formula>
    </cfRule>
    <cfRule type="expression" dxfId="2869" priority="435">
      <formula>AND(B$9&gt;=8/24,B$9&lt;14/24)</formula>
    </cfRule>
    <cfRule type="expression" dxfId="2868" priority="436">
      <formula>B$9&lt;8/24</formula>
    </cfRule>
  </conditionalFormatting>
  <conditionalFormatting sqref="AL4:AL6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867" priority="428">
      <formula>S$9&gt;=20/24</formula>
    </cfRule>
    <cfRule type="expression" dxfId="2866" priority="429">
      <formula>AND(S$9&gt;=14/24,S$9&lt;20/24)</formula>
    </cfRule>
    <cfRule type="expression" dxfId="2865" priority="430">
      <formula>AND(S$9&gt;=8/24,S$9&lt;14/24)</formula>
    </cfRule>
    <cfRule type="expression" dxfId="2864" priority="431">
      <formula>S$9&lt;8/24</formula>
    </cfRule>
  </conditionalFormatting>
  <conditionalFormatting sqref="AG55 Q11:R11 S37:AF37 T11:AF13">
    <cfRule type="expression" dxfId="2863" priority="427">
      <formula>Q11&gt;$AG11</formula>
    </cfRule>
  </conditionalFormatting>
  <conditionalFormatting sqref="A89:A102 A11:A14 A49:A76 A85:A87 A191:A221 A16:A30 A36:A47 A107:A178 A32:A33 A81:A83 A78:A79">
    <cfRule type="expression" dxfId="2862" priority="426">
      <formula>$AH11=0</formula>
    </cfRule>
  </conditionalFormatting>
  <conditionalFormatting sqref="A103">
    <cfRule type="expression" dxfId="2861" priority="425">
      <formula>$AH103=0</formula>
    </cfRule>
  </conditionalFormatting>
  <conditionalFormatting sqref="AL3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860" priority="423">
      <formula>$AH35=0</formula>
    </cfRule>
  </conditionalFormatting>
  <conditionalFormatting sqref="A88">
    <cfRule type="expression" dxfId="2859" priority="422">
      <formula>$AH88=0</formula>
    </cfRule>
  </conditionalFormatting>
  <conditionalFormatting sqref="A15">
    <cfRule type="expression" dxfId="2858" priority="421">
      <formula>$AH15=0</formula>
    </cfRule>
  </conditionalFormatting>
  <conditionalFormatting sqref="A185:A190">
    <cfRule type="expression" dxfId="2857" priority="420">
      <formula>$AH185=0</formula>
    </cfRule>
  </conditionalFormatting>
  <conditionalFormatting sqref="A179:A184">
    <cfRule type="expression" dxfId="2856" priority="419">
      <formula>$AH179=0</formula>
    </cfRule>
  </conditionalFormatting>
  <conditionalFormatting sqref="A48">
    <cfRule type="expression" dxfId="2855" priority="418">
      <formula>$AH48=0</formula>
    </cfRule>
  </conditionalFormatting>
  <conditionalFormatting sqref="A84">
    <cfRule type="expression" dxfId="2854" priority="417">
      <formula>$AH84=0</formula>
    </cfRule>
  </conditionalFormatting>
  <conditionalFormatting sqref="C89:AF89">
    <cfRule type="expression" dxfId="2853" priority="413">
      <formula>C$9&gt;=20/24</formula>
    </cfRule>
    <cfRule type="expression" dxfId="2852" priority="414">
      <formula>AND(C$9&gt;=14/24,C$9&lt;20/24)</formula>
    </cfRule>
    <cfRule type="expression" dxfId="2851" priority="415">
      <formula>AND(C$9&gt;=8/24,C$9&lt;14/24)</formula>
    </cfRule>
    <cfRule type="expression" dxfId="2850" priority="416">
      <formula>C$9&lt;8/24</formula>
    </cfRule>
  </conditionalFormatting>
  <conditionalFormatting sqref="AL34">
    <cfRule type="iconSet" priority="4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849" priority="439">
      <formula>C$9&gt;=20/24</formula>
    </cfRule>
    <cfRule type="expression" dxfId="2848" priority="440">
      <formula>AND(C$9&gt;=14/24,C$9&lt;20/24)</formula>
    </cfRule>
    <cfRule type="expression" dxfId="2847" priority="441">
      <formula>AND(C$9&gt;=8/24,C$9&lt;14/24)</formula>
    </cfRule>
    <cfRule type="expression" dxfId="2846" priority="442">
      <formula>C$9&lt;8/24</formula>
    </cfRule>
  </conditionalFormatting>
  <conditionalFormatting sqref="A222">
    <cfRule type="expression" dxfId="2845" priority="443">
      <formula>$AH222=0</formula>
    </cfRule>
  </conditionalFormatting>
  <conditionalFormatting sqref="AG234">
    <cfRule type="expression" dxfId="2844" priority="444">
      <formula>B$9&gt;=20/24</formula>
    </cfRule>
    <cfRule type="expression" dxfId="2843" priority="445">
      <formula>AND(B$9&gt;=14/24,B$9&lt;20/24)</formula>
    </cfRule>
    <cfRule type="expression" dxfId="2842" priority="446">
      <formula>AND(B$9&gt;=8/24,B$9&lt;14/24)</formula>
    </cfRule>
    <cfRule type="expression" dxfId="2841" priority="447">
      <formula>B$9&lt;8/24</formula>
    </cfRule>
  </conditionalFormatting>
  <conditionalFormatting sqref="S8">
    <cfRule type="expression" dxfId="2840" priority="408">
      <formula>U$9&gt;=20/24</formula>
    </cfRule>
    <cfRule type="expression" dxfId="2839" priority="409">
      <formula>AND(U$9&gt;=14/24,U$9&lt;20/24)</formula>
    </cfRule>
    <cfRule type="expression" dxfId="2838" priority="410">
      <formula>AND(U$9&gt;=8/24,U$9&lt;14/24)</formula>
    </cfRule>
    <cfRule type="expression" dxfId="2837" priority="411">
      <formula>U$9&lt;8/24</formula>
    </cfRule>
  </conditionalFormatting>
  <conditionalFormatting sqref="AB8">
    <cfRule type="expression" dxfId="2836" priority="404">
      <formula>AD$9&gt;=20/24</formula>
    </cfRule>
    <cfRule type="expression" dxfId="2835" priority="405">
      <formula>AND(AD$9&gt;=14/24,AD$9&lt;20/24)</formula>
    </cfRule>
    <cfRule type="expression" dxfId="2834" priority="406">
      <formula>AND(AD$9&gt;=8/24,AD$9&lt;14/24)</formula>
    </cfRule>
    <cfRule type="expression" dxfId="2833" priority="407">
      <formula>AD$9&lt;8/24</formula>
    </cfRule>
  </conditionalFormatting>
  <conditionalFormatting sqref="AH234:AX234">
    <cfRule type="expression" dxfId="2832" priority="448">
      <formula>AG$9&gt;=20/24</formula>
    </cfRule>
    <cfRule type="expression" dxfId="2831" priority="449">
      <formula>AND(AG$9&gt;=14/24,AG$9&lt;20/24)</formula>
    </cfRule>
    <cfRule type="expression" dxfId="2830" priority="450">
      <formula>AND(AG$9&gt;=8/24,AG$9&lt;14/24)</formula>
    </cfRule>
    <cfRule type="expression" dxfId="2829" priority="451">
      <formula>AG$9&lt;8/24</formula>
    </cfRule>
  </conditionalFormatting>
  <conditionalFormatting sqref="T234">
    <cfRule type="expression" dxfId="2828" priority="452">
      <formula>AX$9&gt;=20/24</formula>
    </cfRule>
    <cfRule type="expression" dxfId="2827" priority="453">
      <formula>AND(AX$9&gt;=14/24,AX$9&lt;20/24)</formula>
    </cfRule>
    <cfRule type="expression" dxfId="2826" priority="454">
      <formula>AND(AX$9&gt;=8/24,AX$9&lt;14/24)</formula>
    </cfRule>
    <cfRule type="expression" dxfId="2825" priority="455">
      <formula>AX$9&lt;8/24</formula>
    </cfRule>
  </conditionalFormatting>
  <conditionalFormatting sqref="A104:A105">
    <cfRule type="expression" dxfId="2824" priority="403">
      <formula>$AH104=0</formula>
    </cfRule>
  </conditionalFormatting>
  <conditionalFormatting sqref="C61:AF61 S44:AF45">
    <cfRule type="expression" dxfId="2823" priority="399">
      <formula>C$9&gt;=20/24</formula>
    </cfRule>
    <cfRule type="expression" dxfId="2822" priority="400">
      <formula>AND(C$9&gt;=14/24,C$9&lt;20/24)</formula>
    </cfRule>
    <cfRule type="expression" dxfId="2821" priority="401">
      <formula>AND(C$9&gt;=8/24,C$9&lt;14/24)</formula>
    </cfRule>
    <cfRule type="expression" dxfId="2820" priority="402">
      <formula>C$9&lt;8/24</formula>
    </cfRule>
  </conditionalFormatting>
  <conditionalFormatting sqref="S43:AF43">
    <cfRule type="expression" dxfId="2819" priority="395">
      <formula>S$9&gt;=20/24</formula>
    </cfRule>
    <cfRule type="expression" dxfId="2818" priority="396">
      <formula>AND(S$9&gt;=14/24,S$9&lt;20/24)</formula>
    </cfRule>
    <cfRule type="expression" dxfId="2817" priority="397">
      <formula>AND(S$9&gt;=8/24,S$9&lt;14/24)</formula>
    </cfRule>
    <cfRule type="expression" dxfId="2816" priority="398">
      <formula>S$9&lt;8/24</formula>
    </cfRule>
  </conditionalFormatting>
  <conditionalFormatting sqref="S43:AF45">
    <cfRule type="expression" dxfId="2815" priority="394">
      <formula>S43&gt;$AG43</formula>
    </cfRule>
  </conditionalFormatting>
  <conditionalFormatting sqref="C86:AF86 C73:AF76 M37:R37 C62:U63 Q11:R11 C64:R64 S64:U71 C90:AF96 T12:AF13 D57:AF59 V62:AF71">
    <cfRule type="expression" dxfId="2814" priority="390">
      <formula>C$9&gt;=20/24</formula>
    </cfRule>
    <cfRule type="expression" dxfId="2813" priority="391">
      <formula>AND(C$9&gt;=14/24,C$9&lt;20/24)</formula>
    </cfRule>
    <cfRule type="expression" dxfId="2812" priority="392">
      <formula>AND(C$9&gt;=8/24,C$9&lt;14/24)</formula>
    </cfRule>
    <cfRule type="expression" dxfId="2811" priority="393">
      <formula>C$9&lt;8/24</formula>
    </cfRule>
  </conditionalFormatting>
  <conditionalFormatting sqref="AB46:AC46 C55:AF55 M37:R37 Q11:R11 AC47 L15:AF15 AD46:AF47 D57:AF59">
    <cfRule type="expression" dxfId="2810" priority="385">
      <formula>C11&gt;$AG11</formula>
    </cfRule>
  </conditionalFormatting>
  <conditionalFormatting sqref="L15:AF15">
    <cfRule type="expression" dxfId="2809" priority="377">
      <formula>L$9&gt;=20/24</formula>
    </cfRule>
    <cfRule type="expression" dxfId="2808" priority="378">
      <formula>AND(L$9&gt;=14/24,L$9&lt;20/24)</formula>
    </cfRule>
    <cfRule type="expression" dxfId="2807" priority="379">
      <formula>AND(L$9&gt;=8/24,L$9&lt;14/24)</formula>
    </cfRule>
    <cfRule type="expression" dxfId="2806" priority="380">
      <formula>L$9&lt;8/24</formula>
    </cfRule>
  </conditionalFormatting>
  <conditionalFormatting sqref="M43:N46 N47:N49 R54 O43:R49 S46:AA54 AB47:AB54 AC48:AF54">
    <cfRule type="expression" dxfId="2805" priority="359">
      <formula>M$9&gt;=20/24</formula>
    </cfRule>
    <cfRule type="expression" dxfId="2804" priority="360">
      <formula>AND(M$9&gt;=14/24,M$9&lt;20/24)</formula>
    </cfRule>
    <cfRule type="expression" dxfId="2803" priority="361">
      <formula>AND(M$9&gt;=8/24,M$9&lt;14/24)</formula>
    </cfRule>
    <cfRule type="expression" dxfId="2802" priority="362">
      <formula>M$9&lt;8/24</formula>
    </cfRule>
  </conditionalFormatting>
  <conditionalFormatting sqref="M43:N46 N47:N49 R54 O43:R49 S46:AA54 AB47:AB54 AC48:AF54">
    <cfRule type="expression" dxfId="2801" priority="358">
      <formula>M43&gt;$AG43</formula>
    </cfRule>
  </conditionalFormatting>
  <conditionalFormatting sqref="D44:L45">
    <cfRule type="expression" dxfId="2800" priority="328">
      <formula>D$9&gt;=20/24</formula>
    </cfRule>
    <cfRule type="expression" dxfId="2799" priority="329">
      <formula>AND(D$9&gt;=14/24,D$9&lt;20/24)</formula>
    </cfRule>
    <cfRule type="expression" dxfId="2798" priority="330">
      <formula>AND(D$9&gt;=8/24,D$9&lt;14/24)</formula>
    </cfRule>
    <cfRule type="expression" dxfId="2797" priority="331">
      <formula>D$9&lt;8/24</formula>
    </cfRule>
  </conditionalFormatting>
  <conditionalFormatting sqref="D43:L43">
    <cfRule type="expression" dxfId="2796" priority="324">
      <formula>D$9&gt;=20/24</formula>
    </cfRule>
    <cfRule type="expression" dxfId="2795" priority="325">
      <formula>AND(D$9&gt;=14/24,D$9&lt;20/24)</formula>
    </cfRule>
    <cfRule type="expression" dxfId="2794" priority="326">
      <formula>AND(D$9&gt;=8/24,D$9&lt;14/24)</formula>
    </cfRule>
    <cfRule type="expression" dxfId="2793" priority="327">
      <formula>D$9&lt;8/24</formula>
    </cfRule>
  </conditionalFormatting>
  <conditionalFormatting sqref="D43:L45">
    <cfRule type="expression" dxfId="2792" priority="323">
      <formula>D43&gt;$AG43</formula>
    </cfRule>
  </conditionalFormatting>
  <conditionalFormatting sqref="D46:L47 M47">
    <cfRule type="expression" dxfId="2791" priority="318">
      <formula>D46&gt;$AG46</formula>
    </cfRule>
  </conditionalFormatting>
  <conditionalFormatting sqref="D48:M52 N50:R52">
    <cfRule type="expression" dxfId="2790" priority="314">
      <formula>D$9&gt;=20/24</formula>
    </cfRule>
    <cfRule type="expression" dxfId="2789" priority="315">
      <formula>AND(D$9&gt;=14/24,D$9&lt;20/24)</formula>
    </cfRule>
    <cfRule type="expression" dxfId="2788" priority="316">
      <formula>AND(D$9&gt;=8/24,D$9&lt;14/24)</formula>
    </cfRule>
    <cfRule type="expression" dxfId="2787" priority="317">
      <formula>D$9&lt;8/24</formula>
    </cfRule>
  </conditionalFormatting>
  <conditionalFormatting sqref="D48:M52 N50:R52">
    <cfRule type="expression" dxfId="2786" priority="313">
      <formula>D48&gt;$AG48</formula>
    </cfRule>
  </conditionalFormatting>
  <conditionalFormatting sqref="C78:AF78 C87:AF87">
    <cfRule type="expression" dxfId="2785" priority="300">
      <formula>C$9&gt;=20/24</formula>
    </cfRule>
    <cfRule type="expression" dxfId="2784" priority="301">
      <formula>AND(C$9&gt;=14/24,C$9&lt;20/24)</formula>
    </cfRule>
    <cfRule type="expression" dxfId="2783" priority="302">
      <formula>AND(C$9&gt;=8/24,C$9&lt;14/24)</formula>
    </cfRule>
    <cfRule type="expression" dxfId="2782" priority="303">
      <formula>C$9&lt;8/24</formula>
    </cfRule>
  </conditionalFormatting>
  <conditionalFormatting sqref="C79:AF79 C60:AG60 C77:AG77 C88:AF88">
    <cfRule type="expression" dxfId="2781" priority="278">
      <formula>C$9&gt;=20/24</formula>
    </cfRule>
    <cfRule type="expression" dxfId="2780" priority="279">
      <formula>AND(C$9&gt;=14/24,C$9&lt;20/24)</formula>
    </cfRule>
    <cfRule type="expression" dxfId="2779" priority="280">
      <formula>AND(C$9&gt;=8/24,C$9&lt;14/24)</formula>
    </cfRule>
    <cfRule type="expression" dxfId="2778" priority="281">
      <formula>C$9&lt;8/24</formula>
    </cfRule>
  </conditionalFormatting>
  <conditionalFormatting sqref="T36:AF36">
    <cfRule type="expression" dxfId="2777" priority="73">
      <formula>T$9&gt;=20/24</formula>
    </cfRule>
    <cfRule type="expression" dxfId="2776" priority="74">
      <formula>AND(T$9&gt;=14/24,T$9&lt;20/24)</formula>
    </cfRule>
    <cfRule type="expression" dxfId="2775" priority="75">
      <formula>AND(T$9&gt;=8/24,T$9&lt;14/24)</formula>
    </cfRule>
    <cfRule type="expression" dxfId="2774" priority="76">
      <formula>T$9&lt;8/24</formula>
    </cfRule>
  </conditionalFormatting>
  <conditionalFormatting sqref="C60:AG60 C56:AG56 C38:AG38">
    <cfRule type="expression" dxfId="2773" priority="273">
      <formula>C38&gt;$AG38</formula>
    </cfRule>
  </conditionalFormatting>
  <conditionalFormatting sqref="T25:AF26 T28:AF32">
    <cfRule type="expression" dxfId="2772" priority="68">
      <formula>T$9&gt;=20/24</formula>
    </cfRule>
    <cfRule type="expression" dxfId="2771" priority="69">
      <formula>AND(T$9&gt;=14/24,T$9&lt;20/24)</formula>
    </cfRule>
    <cfRule type="expression" dxfId="2770" priority="70">
      <formula>AND(T$9&gt;=8/24,T$9&lt;14/24)</formula>
    </cfRule>
    <cfRule type="expression" dxfId="2769" priority="71">
      <formula>T$9&lt;8/24</formula>
    </cfRule>
  </conditionalFormatting>
  <conditionalFormatting sqref="T33:AF33">
    <cfRule type="expression" dxfId="2768" priority="64">
      <formula>T$9&gt;=20/24</formula>
    </cfRule>
    <cfRule type="expression" dxfId="2767" priority="65">
      <formula>AND(T$9&gt;=14/24,T$9&lt;20/24)</formula>
    </cfRule>
    <cfRule type="expression" dxfId="2766" priority="66">
      <formula>AND(T$9&gt;=8/24,T$9&lt;14/24)</formula>
    </cfRule>
    <cfRule type="expression" dxfId="2765" priority="67">
      <formula>T$9&lt;8/24</formula>
    </cfRule>
  </conditionalFormatting>
  <conditionalFormatting sqref="T34:AF34">
    <cfRule type="expression" dxfId="2764" priority="55">
      <formula>T$9&gt;=20/24</formula>
    </cfRule>
    <cfRule type="expression" dxfId="2763" priority="56">
      <formula>AND(T$9&gt;=14/24,T$9&lt;20/24)</formula>
    </cfRule>
    <cfRule type="expression" dxfId="2762" priority="57">
      <formula>AND(T$9&gt;=8/24,T$9&lt;14/24)</formula>
    </cfRule>
    <cfRule type="expression" dxfId="2761" priority="58">
      <formula>T$9&lt;8/24</formula>
    </cfRule>
  </conditionalFormatting>
  <conditionalFormatting sqref="T34:AF34">
    <cfRule type="expression" dxfId="2760" priority="54">
      <formula>T34&gt;$AG34</formula>
    </cfRule>
  </conditionalFormatting>
  <conditionalFormatting sqref="T27:AF27">
    <cfRule type="expression" dxfId="2759" priority="50">
      <formula>T$9&gt;=20/24</formula>
    </cfRule>
    <cfRule type="expression" dxfId="2758" priority="51">
      <formula>AND(T$9&gt;=14/24,T$9&lt;20/24)</formula>
    </cfRule>
    <cfRule type="expression" dxfId="2757" priority="52">
      <formula>AND(T$9&gt;=8/24,T$9&lt;14/24)</formula>
    </cfRule>
    <cfRule type="expression" dxfId="2756" priority="53">
      <formula>T$9&lt;8/24</formula>
    </cfRule>
  </conditionalFormatting>
  <conditionalFormatting sqref="A34">
    <cfRule type="expression" dxfId="2755" priority="245">
      <formula>$AH34=0</formula>
    </cfRule>
  </conditionalFormatting>
  <conditionalFormatting sqref="C72:AF72">
    <cfRule type="expression" dxfId="2754" priority="241">
      <formula>C$9&gt;=20/24</formula>
    </cfRule>
    <cfRule type="expression" dxfId="2753" priority="242">
      <formula>AND(C$9&gt;=14/24,C$9&lt;20/24)</formula>
    </cfRule>
    <cfRule type="expression" dxfId="2752" priority="243">
      <formula>AND(C$9&gt;=8/24,C$9&lt;14/24)</formula>
    </cfRule>
    <cfRule type="expression" dxfId="2751" priority="244">
      <formula>C$9&lt;8/24</formula>
    </cfRule>
  </conditionalFormatting>
  <conditionalFormatting sqref="C81:AF85">
    <cfRule type="expression" dxfId="2750" priority="237">
      <formula>C$9&gt;=20/24</formula>
    </cfRule>
    <cfRule type="expression" dxfId="2749" priority="238">
      <formula>AND(C$9&gt;=14/24,C$9&lt;20/24)</formula>
    </cfRule>
    <cfRule type="expression" dxfId="2748" priority="239">
      <formula>AND(C$9&gt;=8/24,C$9&lt;14/24)</formula>
    </cfRule>
    <cfRule type="expression" dxfId="2747" priority="240">
      <formula>C$9&lt;8/24</formula>
    </cfRule>
  </conditionalFormatting>
  <conditionalFormatting sqref="AL35 AL7:AL30 AL32">
    <cfRule type="iconSet" priority="456">
      <iconSet iconSet="3TrafficLights2" reverse="1">
        <cfvo type="percent" val="0"/>
        <cfvo type="num" val="1"/>
        <cfvo type="num" val="1"/>
      </iconSet>
    </cfRule>
  </conditionalFormatting>
  <conditionalFormatting sqref="S39:AF41">
    <cfRule type="expression" dxfId="2746" priority="233">
      <formula>S$9&gt;=20/24</formula>
    </cfRule>
    <cfRule type="expression" dxfId="2745" priority="234">
      <formula>AND(S$9&gt;=14/24,S$9&lt;20/24)</formula>
    </cfRule>
    <cfRule type="expression" dxfId="2744" priority="235">
      <formula>AND(S$9&gt;=8/24,S$9&lt;14/24)</formula>
    </cfRule>
    <cfRule type="expression" dxfId="2743" priority="236">
      <formula>S$9&lt;8/24</formula>
    </cfRule>
  </conditionalFormatting>
  <conditionalFormatting sqref="S39:AF41">
    <cfRule type="expression" dxfId="2742" priority="232">
      <formula>S39&gt;$AG39</formula>
    </cfRule>
  </conditionalFormatting>
  <conditionalFormatting sqref="C42:AG42">
    <cfRule type="expression" dxfId="2741" priority="228">
      <formula>C$9&gt;=20/24</formula>
    </cfRule>
    <cfRule type="expression" dxfId="2740" priority="229">
      <formula>AND(C$9&gt;=14/24,C$9&lt;20/24)</formula>
    </cfRule>
    <cfRule type="expression" dxfId="2739" priority="230">
      <formula>AND(C$9&gt;=8/24,C$9&lt;14/24)</formula>
    </cfRule>
    <cfRule type="expression" dxfId="2738" priority="231">
      <formula>C$9&lt;8/24</formula>
    </cfRule>
  </conditionalFormatting>
  <conditionalFormatting sqref="C42:AG42">
    <cfRule type="expression" dxfId="2737" priority="227">
      <formula>C42&gt;$AG42</formula>
    </cfRule>
  </conditionalFormatting>
  <conditionalFormatting sqref="C97:AF97">
    <cfRule type="expression" dxfId="2736" priority="223">
      <formula>C$9&gt;=20/24</formula>
    </cfRule>
    <cfRule type="expression" dxfId="2735" priority="224">
      <formula>AND(C$9&gt;=14/24,C$9&lt;20/24)</formula>
    </cfRule>
    <cfRule type="expression" dxfId="2734" priority="225">
      <formula>AND(C$9&gt;=8/24,C$9&lt;14/24)</formula>
    </cfRule>
    <cfRule type="expression" dxfId="2733" priority="226">
      <formula>C$9&lt;8/24</formula>
    </cfRule>
  </conditionalFormatting>
  <conditionalFormatting sqref="AL31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732" priority="213">
      <formula>$AH31=0</formula>
    </cfRule>
  </conditionalFormatting>
  <conditionalFormatting sqref="A80">
    <cfRule type="expression" dxfId="2731" priority="211">
      <formula>$AH80=0</formula>
    </cfRule>
  </conditionalFormatting>
  <conditionalFormatting sqref="A77">
    <cfRule type="expression" dxfId="2730" priority="212">
      <formula>$AH77=0</formula>
    </cfRule>
  </conditionalFormatting>
  <conditionalFormatting sqref="A106">
    <cfRule type="expression" dxfId="2729" priority="202">
      <formula>$AH106=0</formula>
    </cfRule>
  </conditionalFormatting>
  <conditionalFormatting sqref="S27">
    <cfRule type="expression" dxfId="2728" priority="1">
      <formula>S$9&gt;=20/24</formula>
    </cfRule>
    <cfRule type="expression" dxfId="2727" priority="2">
      <formula>AND(S$9&gt;=14/24,S$9&lt;20/24)</formula>
    </cfRule>
    <cfRule type="expression" dxfId="2726" priority="3">
      <formula>AND(S$9&gt;=8/24,S$9&lt;14/24)</formula>
    </cfRule>
    <cfRule type="expression" dxfId="2725" priority="4">
      <formula>S$9&lt;8/24</formula>
    </cfRule>
  </conditionalFormatting>
  <conditionalFormatting sqref="B99:B105 B11:P11">
    <cfRule type="expression" dxfId="2724" priority="198">
      <formula>B$9&gt;=20/24</formula>
    </cfRule>
    <cfRule type="expression" dxfId="2723" priority="199">
      <formula>AND(B$9&gt;=14/24,B$9&lt;20/24)</formula>
    </cfRule>
    <cfRule type="expression" dxfId="2722" priority="200">
      <formula>AND(B$9&gt;=8/24,B$9&lt;14/24)</formula>
    </cfRule>
    <cfRule type="expression" dxfId="2721" priority="201">
      <formula>B$9&lt;8/24</formula>
    </cfRule>
  </conditionalFormatting>
  <conditionalFormatting sqref="B37:L37">
    <cfRule type="expression" dxfId="2720" priority="194">
      <formula>B$9&gt;=20/24</formula>
    </cfRule>
    <cfRule type="expression" dxfId="2719" priority="195">
      <formula>AND(B$9&gt;=14/24,B$9&lt;20/24)</formula>
    </cfRule>
    <cfRule type="expression" dxfId="2718" priority="196">
      <formula>AND(B$9&gt;=8/24,B$9&lt;14/24)</formula>
    </cfRule>
    <cfRule type="expression" dxfId="2717" priority="197">
      <formula>B$9&lt;8/24</formula>
    </cfRule>
  </conditionalFormatting>
  <conditionalFormatting sqref="B11:K16 B37:L37 L11:P14 Q12:R14 L16:R16">
    <cfRule type="expression" dxfId="2716" priority="193">
      <formula>B11&gt;$AG11</formula>
    </cfRule>
  </conditionalFormatting>
  <conditionalFormatting sqref="B89">
    <cfRule type="expression" dxfId="2715" priority="189">
      <formula>B$9&gt;=20/24</formula>
    </cfRule>
    <cfRule type="expression" dxfId="2714" priority="190">
      <formula>AND(B$9&gt;=14/24,B$9&lt;20/24)</formula>
    </cfRule>
    <cfRule type="expression" dxfId="2713" priority="191">
      <formula>AND(B$9&gt;=8/24,B$9&lt;14/24)</formula>
    </cfRule>
    <cfRule type="expression" dxfId="2712" priority="192">
      <formula>B$9&lt;8/24</formula>
    </cfRule>
  </conditionalFormatting>
  <conditionalFormatting sqref="B61 B44:C45">
    <cfRule type="expression" dxfId="2711" priority="185">
      <formula>B$9&gt;=20/24</formula>
    </cfRule>
    <cfRule type="expression" dxfId="2710" priority="186">
      <formula>AND(B$9&gt;=14/24,B$9&lt;20/24)</formula>
    </cfRule>
    <cfRule type="expression" dxfId="2709" priority="187">
      <formula>AND(B$9&gt;=8/24,B$9&lt;14/24)</formula>
    </cfRule>
    <cfRule type="expression" dxfId="2708" priority="188">
      <formula>B$9&lt;8/24</formula>
    </cfRule>
  </conditionalFormatting>
  <conditionalFormatting sqref="B43:C43">
    <cfRule type="expression" dxfId="2707" priority="181">
      <formula>B$9&gt;=20/24</formula>
    </cfRule>
    <cfRule type="expression" dxfId="2706" priority="182">
      <formula>AND(B$9&gt;=14/24,B$9&lt;20/24)</formula>
    </cfRule>
    <cfRule type="expression" dxfId="2705" priority="183">
      <formula>AND(B$9&gt;=8/24,B$9&lt;14/24)</formula>
    </cfRule>
    <cfRule type="expression" dxfId="2704" priority="184">
      <formula>B$9&lt;8/24</formula>
    </cfRule>
  </conditionalFormatting>
  <conditionalFormatting sqref="B43:C45">
    <cfRule type="expression" dxfId="2703" priority="180">
      <formula>B43&gt;$AG43</formula>
    </cfRule>
  </conditionalFormatting>
  <conditionalFormatting sqref="B86 B73:B76 B90:B96 B62:B71 B57:C59 B12:R14 B18:R22 B24:R24 B16:R16 C65:R71">
    <cfRule type="expression" dxfId="2702" priority="176">
      <formula>B$9&gt;=20/24</formula>
    </cfRule>
    <cfRule type="expression" dxfId="2701" priority="177">
      <formula>AND(B$9&gt;=14/24,B$9&lt;20/24)</formula>
    </cfRule>
    <cfRule type="expression" dxfId="2700" priority="178">
      <formula>AND(B$9&gt;=8/24,B$9&lt;14/24)</formula>
    </cfRule>
    <cfRule type="expression" dxfId="2699" priority="179">
      <formula>B$9&lt;8/24</formula>
    </cfRule>
  </conditionalFormatting>
  <conditionalFormatting sqref="B55 B46:C47 B57:C59 B18:R22 B24:R24">
    <cfRule type="expression" dxfId="2698" priority="175">
      <formula>B18&gt;$AG18</formula>
    </cfRule>
  </conditionalFormatting>
  <conditionalFormatting sqref="B15:K15">
    <cfRule type="expression" dxfId="2697" priority="171">
      <formula>B$9&gt;=20/24</formula>
    </cfRule>
    <cfRule type="expression" dxfId="2696" priority="172">
      <formula>AND(B$9&gt;=14/24,B$9&lt;20/24)</formula>
    </cfRule>
    <cfRule type="expression" dxfId="2695" priority="173">
      <formula>AND(B$9&gt;=8/24,B$9&lt;14/24)</formula>
    </cfRule>
    <cfRule type="expression" dxfId="2694" priority="174">
      <formula>B$9&lt;8/24</formula>
    </cfRule>
  </conditionalFormatting>
  <conditionalFormatting sqref="B48:C54 D53:Q54 R53">
    <cfRule type="expression" dxfId="2693" priority="167">
      <formula>B$9&gt;=20/24</formula>
    </cfRule>
    <cfRule type="expression" dxfId="2692" priority="168">
      <formula>AND(B$9&gt;=14/24,B$9&lt;20/24)</formula>
    </cfRule>
    <cfRule type="expression" dxfId="2691" priority="169">
      <formula>AND(B$9&gt;=8/24,B$9&lt;14/24)</formula>
    </cfRule>
    <cfRule type="expression" dxfId="2690" priority="170">
      <formula>B$9&lt;8/24</formula>
    </cfRule>
  </conditionalFormatting>
  <conditionalFormatting sqref="B48:C54 D53:Q54 R53">
    <cfRule type="expression" dxfId="2689" priority="166">
      <formula>B48&gt;$AG48</formula>
    </cfRule>
  </conditionalFormatting>
  <conditionalFormatting sqref="B23:R23 B17:R17">
    <cfRule type="expression" dxfId="2688" priority="162">
      <formula>B$9&gt;=20/24</formula>
    </cfRule>
    <cfRule type="expression" dxfId="2687" priority="163">
      <formula>AND(B$9&gt;=14/24,B$9&lt;20/24)</formula>
    </cfRule>
    <cfRule type="expression" dxfId="2686" priority="164">
      <formula>AND(B$9&gt;=8/24,B$9&lt;14/24)</formula>
    </cfRule>
    <cfRule type="expression" dxfId="2685" priority="165">
      <formula>B$9&lt;8/24</formula>
    </cfRule>
  </conditionalFormatting>
  <conditionalFormatting sqref="B23:R23 B17:R17">
    <cfRule type="expression" dxfId="2684" priority="161">
      <formula>B17&gt;$AG17</formula>
    </cfRule>
  </conditionalFormatting>
  <conditionalFormatting sqref="B78 B87">
    <cfRule type="expression" dxfId="2683" priority="157">
      <formula>B$9&gt;=20/24</formula>
    </cfRule>
    <cfRule type="expression" dxfId="2682" priority="158">
      <formula>AND(B$9&gt;=14/24,B$9&lt;20/24)</formula>
    </cfRule>
    <cfRule type="expression" dxfId="2681" priority="159">
      <formula>AND(B$9&gt;=8/24,B$9&lt;14/24)</formula>
    </cfRule>
    <cfRule type="expression" dxfId="2680" priority="160">
      <formula>B$9&lt;8/24</formula>
    </cfRule>
  </conditionalFormatting>
  <conditionalFormatting sqref="B79 B60 B77 B88">
    <cfRule type="expression" dxfId="2679" priority="153">
      <formula>B$9&gt;=20/24</formula>
    </cfRule>
    <cfRule type="expression" dxfId="2678" priority="154">
      <formula>AND(B$9&gt;=14/24,B$9&lt;20/24)</formula>
    </cfRule>
    <cfRule type="expression" dxfId="2677" priority="155">
      <formula>AND(B$9&gt;=8/24,B$9&lt;14/24)</formula>
    </cfRule>
    <cfRule type="expression" dxfId="2676" priority="156">
      <formula>B$9&lt;8/24</formula>
    </cfRule>
  </conditionalFormatting>
  <conditionalFormatting sqref="B38 B56 B60">
    <cfRule type="expression" dxfId="2675" priority="152">
      <formula>B38&gt;$AG38</formula>
    </cfRule>
  </conditionalFormatting>
  <conditionalFormatting sqref="B72">
    <cfRule type="expression" dxfId="2674" priority="148">
      <formula>B$9&gt;=20/24</formula>
    </cfRule>
    <cfRule type="expression" dxfId="2673" priority="149">
      <formula>AND(B$9&gt;=14/24,B$9&lt;20/24)</formula>
    </cfRule>
    <cfRule type="expression" dxfId="2672" priority="150">
      <formula>AND(B$9&gt;=8/24,B$9&lt;14/24)</formula>
    </cfRule>
    <cfRule type="expression" dxfId="2671" priority="151">
      <formula>B$9&lt;8/24</formula>
    </cfRule>
  </conditionalFormatting>
  <conditionalFormatting sqref="B81:B85">
    <cfRule type="expression" dxfId="2670" priority="144">
      <formula>B$9&gt;=20/24</formula>
    </cfRule>
    <cfRule type="expression" dxfId="2669" priority="145">
      <formula>AND(B$9&gt;=14/24,B$9&lt;20/24)</formula>
    </cfRule>
    <cfRule type="expression" dxfId="2668" priority="146">
      <formula>AND(B$9&gt;=8/24,B$9&lt;14/24)</formula>
    </cfRule>
    <cfRule type="expression" dxfId="2667" priority="147">
      <formula>B$9&lt;8/24</formula>
    </cfRule>
  </conditionalFormatting>
  <conditionalFormatting sqref="B39:R41">
    <cfRule type="expression" dxfId="2666" priority="140">
      <formula>B$9&gt;=20/24</formula>
    </cfRule>
    <cfRule type="expression" dxfId="2665" priority="141">
      <formula>AND(B$9&gt;=14/24,B$9&lt;20/24)</formula>
    </cfRule>
    <cfRule type="expression" dxfId="2664" priority="142">
      <formula>AND(B$9&gt;=8/24,B$9&lt;14/24)</formula>
    </cfRule>
    <cfRule type="expression" dxfId="2663" priority="143">
      <formula>B$9&lt;8/24</formula>
    </cfRule>
  </conditionalFormatting>
  <conditionalFormatting sqref="B39:R41">
    <cfRule type="expression" dxfId="2662" priority="139">
      <formula>B39&gt;$AG39</formula>
    </cfRule>
  </conditionalFormatting>
  <conditionalFormatting sqref="B42">
    <cfRule type="expression" dxfId="2661" priority="135">
      <formula>B$9&gt;=20/24</formula>
    </cfRule>
    <cfRule type="expression" dxfId="2660" priority="136">
      <formula>AND(B$9&gt;=14/24,B$9&lt;20/24)</formula>
    </cfRule>
    <cfRule type="expression" dxfId="2659" priority="137">
      <formula>AND(B$9&gt;=8/24,B$9&lt;14/24)</formula>
    </cfRule>
    <cfRule type="expression" dxfId="2658" priority="138">
      <formula>B$9&lt;8/24</formula>
    </cfRule>
  </conditionalFormatting>
  <conditionalFormatting sqref="B42">
    <cfRule type="expression" dxfId="2657" priority="134">
      <formula>B42&gt;$AG42</formula>
    </cfRule>
  </conditionalFormatting>
  <conditionalFormatting sqref="B97">
    <cfRule type="expression" dxfId="2656" priority="130">
      <formula>B$9&gt;=20/24</formula>
    </cfRule>
    <cfRule type="expression" dxfId="2655" priority="131">
      <formula>AND(B$9&gt;=14/24,B$9&lt;20/24)</formula>
    </cfRule>
    <cfRule type="expression" dxfId="2654" priority="132">
      <formula>AND(B$9&gt;=8/24,B$9&lt;14/24)</formula>
    </cfRule>
    <cfRule type="expression" dxfId="2653" priority="133">
      <formula>B$9&lt;8/24</formula>
    </cfRule>
  </conditionalFormatting>
  <conditionalFormatting sqref="B35:R35">
    <cfRule type="expression" dxfId="2652" priority="121">
      <formula>B35&gt;$AG35</formula>
    </cfRule>
  </conditionalFormatting>
  <conditionalFormatting sqref="B36:R36">
    <cfRule type="expression" dxfId="2651" priority="117">
      <formula>B$9&gt;=20/24</formula>
    </cfRule>
    <cfRule type="expression" dxfId="2650" priority="118">
      <formula>AND(B$9&gt;=14/24,B$9&lt;20/24)</formula>
    </cfRule>
    <cfRule type="expression" dxfId="2649" priority="119">
      <formula>AND(B$9&gt;=8/24,B$9&lt;14/24)</formula>
    </cfRule>
    <cfRule type="expression" dxfId="2648" priority="120">
      <formula>B$9&lt;8/24</formula>
    </cfRule>
  </conditionalFormatting>
  <conditionalFormatting sqref="B36:R36">
    <cfRule type="expression" dxfId="2647" priority="116">
      <formula>B36&gt;$AG36</formula>
    </cfRule>
  </conditionalFormatting>
  <conditionalFormatting sqref="B25:R26 B28:R32">
    <cfRule type="expression" dxfId="2646" priority="112">
      <formula>B$9&gt;=20/24</formula>
    </cfRule>
    <cfRule type="expression" dxfId="2645" priority="113">
      <formula>AND(B$9&gt;=14/24,B$9&lt;20/24)</formula>
    </cfRule>
    <cfRule type="expression" dxfId="2644" priority="114">
      <formula>AND(B$9&gt;=8/24,B$9&lt;14/24)</formula>
    </cfRule>
    <cfRule type="expression" dxfId="2643" priority="115">
      <formula>B$9&lt;8/24</formula>
    </cfRule>
  </conditionalFormatting>
  <conditionalFormatting sqref="B33:R33">
    <cfRule type="expression" dxfId="2642" priority="108">
      <formula>B$9&gt;=20/24</formula>
    </cfRule>
    <cfRule type="expression" dxfId="2641" priority="109">
      <formula>AND(B$9&gt;=14/24,B$9&lt;20/24)</formula>
    </cfRule>
    <cfRule type="expression" dxfId="2640" priority="110">
      <formula>AND(B$9&gt;=8/24,B$9&lt;14/24)</formula>
    </cfRule>
    <cfRule type="expression" dxfId="2639" priority="111">
      <formula>B$9&lt;8/24</formula>
    </cfRule>
  </conditionalFormatting>
  <conditionalFormatting sqref="B25:R33">
    <cfRule type="expression" dxfId="2638" priority="107">
      <formula>B25&gt;$AG25</formula>
    </cfRule>
  </conditionalFormatting>
  <conditionalFormatting sqref="B35:R35">
    <cfRule type="expression" dxfId="2637" priority="103">
      <formula>B$9&gt;=20/24</formula>
    </cfRule>
    <cfRule type="expression" dxfId="2636" priority="104">
      <formula>AND(B$9&gt;=14/24,B$9&lt;20/24)</formula>
    </cfRule>
    <cfRule type="expression" dxfId="2635" priority="105">
      <formula>AND(B$9&gt;=8/24,B$9&lt;14/24)</formula>
    </cfRule>
    <cfRule type="expression" dxfId="2634" priority="106">
      <formula>B$9&lt;8/24</formula>
    </cfRule>
  </conditionalFormatting>
  <conditionalFormatting sqref="B34:R34">
    <cfRule type="expression" dxfId="2633" priority="99">
      <formula>B$9&gt;=20/24</formula>
    </cfRule>
    <cfRule type="expression" dxfId="2632" priority="100">
      <formula>AND(B$9&gt;=14/24,B$9&lt;20/24)</formula>
    </cfRule>
    <cfRule type="expression" dxfId="2631" priority="101">
      <formula>AND(B$9&gt;=8/24,B$9&lt;14/24)</formula>
    </cfRule>
    <cfRule type="expression" dxfId="2630" priority="102">
      <formula>B$9&lt;8/24</formula>
    </cfRule>
  </conditionalFormatting>
  <conditionalFormatting sqref="B34:R34">
    <cfRule type="expression" dxfId="2629" priority="98">
      <formula>B34&gt;$AG34</formula>
    </cfRule>
  </conditionalFormatting>
  <conditionalFormatting sqref="B27:R27">
    <cfRule type="expression" dxfId="2628" priority="94">
      <formula>B$9&gt;=20/24</formula>
    </cfRule>
    <cfRule type="expression" dxfId="2627" priority="95">
      <formula>AND(B$9&gt;=14/24,B$9&lt;20/24)</formula>
    </cfRule>
    <cfRule type="expression" dxfId="2626" priority="96">
      <formula>AND(B$9&gt;=8/24,B$9&lt;14/24)</formula>
    </cfRule>
    <cfRule type="expression" dxfId="2625" priority="97">
      <formula>B$9&lt;8/24</formula>
    </cfRule>
  </conditionalFormatting>
  <conditionalFormatting sqref="T14:AF14 T16:AF16">
    <cfRule type="expression" dxfId="2624" priority="88">
      <formula>T14&gt;$AG14</formula>
    </cfRule>
  </conditionalFormatting>
  <conditionalFormatting sqref="T14:AF14 T18:AF22 T16:AF16 T24:AF24">
    <cfRule type="expression" dxfId="2623" priority="84">
      <formula>T$9&gt;=20/24</formula>
    </cfRule>
    <cfRule type="expression" dxfId="2622" priority="85">
      <formula>AND(T$9&gt;=14/24,T$9&lt;20/24)</formula>
    </cfRule>
    <cfRule type="expression" dxfId="2621" priority="86">
      <formula>AND(T$9&gt;=8/24,T$9&lt;14/24)</formula>
    </cfRule>
    <cfRule type="expression" dxfId="2620" priority="87">
      <formula>T$9&lt;8/24</formula>
    </cfRule>
  </conditionalFormatting>
  <conditionalFormatting sqref="T18:AF22 T24:AF24">
    <cfRule type="expression" dxfId="2619" priority="83">
      <formula>T18&gt;$AG18</formula>
    </cfRule>
  </conditionalFormatting>
  <conditionalFormatting sqref="T23:AF23 T17:AF17">
    <cfRule type="expression" dxfId="2618" priority="79">
      <formula>T$9&gt;=20/24</formula>
    </cfRule>
    <cfRule type="expression" dxfId="2617" priority="80">
      <formula>AND(T$9&gt;=14/24,T$9&lt;20/24)</formula>
    </cfRule>
    <cfRule type="expression" dxfId="2616" priority="81">
      <formula>AND(T$9&gt;=8/24,T$9&lt;14/24)</formula>
    </cfRule>
    <cfRule type="expression" dxfId="2615" priority="82">
      <formula>T$9&lt;8/24</formula>
    </cfRule>
  </conditionalFormatting>
  <conditionalFormatting sqref="T23:AF23 T17:AF17">
    <cfRule type="expression" dxfId="2614" priority="78">
      <formula>T17&gt;$AG17</formula>
    </cfRule>
  </conditionalFormatting>
  <conditionalFormatting sqref="T35:AF35">
    <cfRule type="expression" dxfId="2613" priority="77">
      <formula>T35&gt;$AG35</formula>
    </cfRule>
  </conditionalFormatting>
  <conditionalFormatting sqref="T36:AF36">
    <cfRule type="expression" dxfId="2612" priority="72">
      <formula>T36&gt;$AG36</formula>
    </cfRule>
  </conditionalFormatting>
  <conditionalFormatting sqref="T25:AF33">
    <cfRule type="expression" dxfId="2611" priority="63">
      <formula>T25&gt;$AG25</formula>
    </cfRule>
  </conditionalFormatting>
  <conditionalFormatting sqref="T35:AF35">
    <cfRule type="expression" dxfId="2610" priority="59">
      <formula>T$9&gt;=20/24</formula>
    </cfRule>
    <cfRule type="expression" dxfId="2609" priority="60">
      <formula>AND(T$9&gt;=14/24,T$9&lt;20/24)</formula>
    </cfRule>
    <cfRule type="expression" dxfId="2608" priority="61">
      <formula>AND(T$9&gt;=8/24,T$9&lt;14/24)</formula>
    </cfRule>
    <cfRule type="expression" dxfId="2607" priority="62">
      <formula>T$9&lt;8/24</formula>
    </cfRule>
  </conditionalFormatting>
  <conditionalFormatting sqref="S11">
    <cfRule type="expression" dxfId="2606" priority="49">
      <formula>S11&gt;$AG11</formula>
    </cfRule>
  </conditionalFormatting>
  <conditionalFormatting sqref="S11">
    <cfRule type="expression" dxfId="2605" priority="45">
      <formula>S$9&gt;=20/24</formula>
    </cfRule>
    <cfRule type="expression" dxfId="2604" priority="46">
      <formula>AND(S$9&gt;=14/24,S$9&lt;20/24)</formula>
    </cfRule>
    <cfRule type="expression" dxfId="2603" priority="47">
      <formula>AND(S$9&gt;=8/24,S$9&lt;14/24)</formula>
    </cfRule>
    <cfRule type="expression" dxfId="2602" priority="48">
      <formula>S$9&lt;8/24</formula>
    </cfRule>
  </conditionalFormatting>
  <conditionalFormatting sqref="S11">
    <cfRule type="expression" dxfId="2601" priority="44">
      <formula>S11&gt;$AG11</formula>
    </cfRule>
  </conditionalFormatting>
  <conditionalFormatting sqref="S12:S14 S16">
    <cfRule type="expression" dxfId="2600" priority="39">
      <formula>S12&gt;$AG12</formula>
    </cfRule>
  </conditionalFormatting>
  <conditionalFormatting sqref="S12:S14 S18:S22 S24 S16">
    <cfRule type="expression" dxfId="2599" priority="35">
      <formula>S$9&gt;=20/24</formula>
    </cfRule>
    <cfRule type="expression" dxfId="2598" priority="36">
      <formula>AND(S$9&gt;=14/24,S$9&lt;20/24)</formula>
    </cfRule>
    <cfRule type="expression" dxfId="2597" priority="37">
      <formula>AND(S$9&gt;=8/24,S$9&lt;14/24)</formula>
    </cfRule>
    <cfRule type="expression" dxfId="2596" priority="38">
      <formula>S$9&lt;8/24</formula>
    </cfRule>
  </conditionalFormatting>
  <conditionalFormatting sqref="S18:S22 S24">
    <cfRule type="expression" dxfId="2595" priority="34">
      <formula>S18&gt;$AG18</formula>
    </cfRule>
  </conditionalFormatting>
  <conditionalFormatting sqref="S23 S17">
    <cfRule type="expression" dxfId="2594" priority="30">
      <formula>S$9&gt;=20/24</formula>
    </cfRule>
    <cfRule type="expression" dxfId="2593" priority="31">
      <formula>AND(S$9&gt;=14/24,S$9&lt;20/24)</formula>
    </cfRule>
    <cfRule type="expression" dxfId="2592" priority="32">
      <formula>AND(S$9&gt;=8/24,S$9&lt;14/24)</formula>
    </cfRule>
    <cfRule type="expression" dxfId="2591" priority="33">
      <formula>S$9&lt;8/24</formula>
    </cfRule>
  </conditionalFormatting>
  <conditionalFormatting sqref="S23 S17">
    <cfRule type="expression" dxfId="2590" priority="29">
      <formula>S17&gt;$AG17</formula>
    </cfRule>
  </conditionalFormatting>
  <conditionalFormatting sqref="S35">
    <cfRule type="expression" dxfId="2589" priority="28">
      <formula>S35&gt;$AG35</formula>
    </cfRule>
  </conditionalFormatting>
  <conditionalFormatting sqref="S36">
    <cfRule type="expression" dxfId="2588" priority="24">
      <formula>S$9&gt;=20/24</formula>
    </cfRule>
    <cfRule type="expression" dxfId="2587" priority="25">
      <formula>AND(S$9&gt;=14/24,S$9&lt;20/24)</formula>
    </cfRule>
    <cfRule type="expression" dxfId="2586" priority="26">
      <formula>AND(S$9&gt;=8/24,S$9&lt;14/24)</formula>
    </cfRule>
    <cfRule type="expression" dxfId="2585" priority="27">
      <formula>S$9&lt;8/24</formula>
    </cfRule>
  </conditionalFormatting>
  <conditionalFormatting sqref="S36">
    <cfRule type="expression" dxfId="2584" priority="23">
      <formula>S36&gt;$AG36</formula>
    </cfRule>
  </conditionalFormatting>
  <conditionalFormatting sqref="S25:S26 S28:S32">
    <cfRule type="expression" dxfId="2583" priority="19">
      <formula>S$9&gt;=20/24</formula>
    </cfRule>
    <cfRule type="expression" dxfId="2582" priority="20">
      <formula>AND(S$9&gt;=14/24,S$9&lt;20/24)</formula>
    </cfRule>
    <cfRule type="expression" dxfId="2581" priority="21">
      <formula>AND(S$9&gt;=8/24,S$9&lt;14/24)</formula>
    </cfRule>
    <cfRule type="expression" dxfId="2580" priority="22">
      <formula>S$9&lt;8/24</formula>
    </cfRule>
  </conditionalFormatting>
  <conditionalFormatting sqref="S33">
    <cfRule type="expression" dxfId="2579" priority="15">
      <formula>S$9&gt;=20/24</formula>
    </cfRule>
    <cfRule type="expression" dxfId="2578" priority="16">
      <formula>AND(S$9&gt;=14/24,S$9&lt;20/24)</formula>
    </cfRule>
    <cfRule type="expression" dxfId="2577" priority="17">
      <formula>AND(S$9&gt;=8/24,S$9&lt;14/24)</formula>
    </cfRule>
    <cfRule type="expression" dxfId="2576" priority="18">
      <formula>S$9&lt;8/24</formula>
    </cfRule>
  </conditionalFormatting>
  <conditionalFormatting sqref="S25:S33">
    <cfRule type="expression" dxfId="2575" priority="14">
      <formula>S25&gt;$AG25</formula>
    </cfRule>
  </conditionalFormatting>
  <conditionalFormatting sqref="S35">
    <cfRule type="expression" dxfId="2574" priority="10">
      <formula>S$9&gt;=20/24</formula>
    </cfRule>
    <cfRule type="expression" dxfId="2573" priority="11">
      <formula>AND(S$9&gt;=14/24,S$9&lt;20/24)</formula>
    </cfRule>
    <cfRule type="expression" dxfId="2572" priority="12">
      <formula>AND(S$9&gt;=8/24,S$9&lt;14/24)</formula>
    </cfRule>
    <cfRule type="expression" dxfId="2571" priority="13">
      <formula>S$9&lt;8/24</formula>
    </cfRule>
  </conditionalFormatting>
  <conditionalFormatting sqref="S34">
    <cfRule type="expression" dxfId="2570" priority="6">
      <formula>S$9&gt;=20/24</formula>
    </cfRule>
    <cfRule type="expression" dxfId="2569" priority="7">
      <formula>AND(S$9&gt;=14/24,S$9&lt;20/24)</formula>
    </cfRule>
    <cfRule type="expression" dxfId="2568" priority="8">
      <formula>AND(S$9&gt;=8/24,S$9&lt;14/24)</formula>
    </cfRule>
    <cfRule type="expression" dxfId="2567" priority="9">
      <formula>S$9&lt;8/24</formula>
    </cfRule>
  </conditionalFormatting>
  <conditionalFormatting sqref="S34">
    <cfRule type="expression" dxfId="2566" priority="5">
      <formula>S34&gt;$AG34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4" id="{AB4BC10F-0F6C-490E-95B1-96DE459A4A9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5" id="{9EE8FFCB-3ECC-45C8-8F89-E6B21EBBDFE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6" id="{54CF6CAE-2D0D-42CC-99C3-45BF4BF3A72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7" id="{E4B0E7FF-3004-424D-919D-5E7770966F5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C80:AF80</xm:sqref>
        </x14:conditionalFormatting>
        <x14:conditionalFormatting xmlns:xm="http://schemas.microsoft.com/office/excel/2006/main">
          <x14:cfRule type="expression" priority="207" id="{6538FDF5-E0D0-490B-9468-3A1F59E3405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8" id="{96838C89-F48F-4238-BE5B-DB05276DD18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9" id="{ACF96357-8309-42B4-B4D9-B1C4071DD4C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0" id="{C5BF8DCE-5C08-43BC-A836-77D0E7D6E97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126" id="{8E90606F-5637-4B9C-8B42-60514D31CDA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7" id="{6D6FC4B1-C207-4C86-97E5-1804887815B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8" id="{61429F9E-2D39-478A-BE55-9804E34A030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9" id="{83EFDB41-12DE-4791-8B4A-2106075C650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</xm:sqref>
        </x14:conditionalFormatting>
        <x14:conditionalFormatting xmlns:xm="http://schemas.microsoft.com/office/excel/2006/main">
          <x14:cfRule type="expression" priority="122" id="{D69B76A0-E88C-4A3F-9CBD-286B2EFFD58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3" id="{2F4B0C99-57B5-4D42-935F-EF0C24382E5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4" id="{A6A940EF-69D4-46A7-B3CF-2FA10B9D3EF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5" id="{B08235A3-8E2A-4CDB-9343-9F59DD59254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CJ493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H28" sqref="H28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2079/02/25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("&amp;ROUND(B238,0)&amp;" MW)"&amp;"    IPP   = "&amp;ROUND(B233,0)&amp;" MW     NEA RoR = "&amp;ROUND(B234,0)&amp;" MWImport   = "&amp;ROUND(B236,0)&amp;" MW      KL1+KL2+K3 = "&amp;ROUND(B235,0) &amp;" MW    EXPORT = "&amp;ROUND(B237,0)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36.1</v>
      </c>
      <c r="C5" s="205">
        <f t="shared" si="0"/>
        <v>6</v>
      </c>
      <c r="D5" s="205">
        <f t="shared" si="0"/>
        <v>4</v>
      </c>
      <c r="E5" s="205">
        <f t="shared" si="0"/>
        <v>26</v>
      </c>
      <c r="F5" s="205">
        <f t="shared" si="0"/>
        <v>22</v>
      </c>
      <c r="G5" s="205">
        <f t="shared" si="0"/>
        <v>4</v>
      </c>
      <c r="H5" s="205">
        <f t="shared" si="0"/>
        <v>4</v>
      </c>
      <c r="I5" s="205">
        <f t="shared" si="0"/>
        <v>4</v>
      </c>
      <c r="J5" s="205">
        <f t="shared" si="0"/>
        <v>4</v>
      </c>
      <c r="K5" s="205">
        <f t="shared" si="0"/>
        <v>4</v>
      </c>
      <c r="L5" s="205">
        <f t="shared" si="0"/>
        <v>4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44.5</v>
      </c>
      <c r="Q5" s="205">
        <f t="shared" si="0"/>
        <v>67.599999999999994</v>
      </c>
      <c r="R5" s="205">
        <f t="shared" si="0"/>
        <v>25</v>
      </c>
      <c r="S5" s="205">
        <f t="shared" si="0"/>
        <v>75</v>
      </c>
      <c r="T5" s="205">
        <f t="shared" si="0"/>
        <v>75</v>
      </c>
      <c r="U5" s="205">
        <f t="shared" si="0"/>
        <v>75</v>
      </c>
      <c r="V5" s="205">
        <f t="shared" si="0"/>
        <v>75</v>
      </c>
      <c r="W5" s="205">
        <f t="shared" si="0"/>
        <v>75</v>
      </c>
      <c r="X5" s="205">
        <f t="shared" si="0"/>
        <v>70</v>
      </c>
      <c r="Y5" s="205">
        <f t="shared" si="0"/>
        <v>82</v>
      </c>
      <c r="Z5" s="205">
        <f t="shared" si="0"/>
        <v>54</v>
      </c>
      <c r="AA5" s="205">
        <f t="shared" si="0"/>
        <v>55.9</v>
      </c>
      <c r="AB5" s="205">
        <f t="shared" si="0"/>
        <v>60.9</v>
      </c>
      <c r="AC5" s="205">
        <f t="shared" si="0"/>
        <v>62.9</v>
      </c>
      <c r="AD5" s="205">
        <f t="shared" si="0"/>
        <v>34.9</v>
      </c>
      <c r="AE5" s="205">
        <f t="shared" si="0"/>
        <v>22.3</v>
      </c>
      <c r="AF5" s="205">
        <f>B72</f>
        <v>39.5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"&amp;ROUND(B238,0)&amp;"MW at "&amp;TRUNC(B239*24,0)&amp;":"&amp;ROUND((B239*24-TRUNC(B239*24,0))*60,0)&amp;"hr at "&amp;ROUND(B240,1)&amp;"Hz     "&amp;A230&amp;" "&amp;ROUND(B230,0)&amp;"MW at "&amp;TRUNC(C230*24,0)&amp;":"&amp;ROUND((C230*24-TRUNC(C230*24,0))*6,0)&amp;"0hr"</f>
        <v>Evening Peak 0MW at 0:0hr at 0Hz     Morning Peak 1702MW at 4:60hr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Load=1593</v>
      </c>
      <c r="B7" s="210">
        <f>B79</f>
        <v>1762.24</v>
      </c>
      <c r="C7" s="210">
        <f t="shared" ref="C7:AF7" si="1">C79</f>
        <v>1773.6399999999999</v>
      </c>
      <c r="D7" s="210">
        <f t="shared" si="1"/>
        <v>1743.54</v>
      </c>
      <c r="E7" s="210">
        <f t="shared" si="1"/>
        <v>1711.64</v>
      </c>
      <c r="F7" s="210">
        <f t="shared" si="1"/>
        <v>1706.44</v>
      </c>
      <c r="G7" s="210">
        <f t="shared" si="1"/>
        <v>1702.44</v>
      </c>
      <c r="H7" s="210">
        <f t="shared" si="1"/>
        <v>1682.44</v>
      </c>
      <c r="I7" s="210">
        <f t="shared" si="1"/>
        <v>1666.44</v>
      </c>
      <c r="J7" s="210">
        <f t="shared" si="1"/>
        <v>1656.7399999999998</v>
      </c>
      <c r="K7" s="210">
        <f t="shared" si="1"/>
        <v>1648.84</v>
      </c>
      <c r="L7" s="210">
        <f t="shared" si="1"/>
        <v>1660.84</v>
      </c>
      <c r="M7" s="210">
        <f t="shared" si="1"/>
        <v>1697.04</v>
      </c>
      <c r="N7" s="210">
        <f t="shared" si="1"/>
        <v>1693.04</v>
      </c>
      <c r="O7" s="210">
        <f t="shared" si="1"/>
        <v>1702.44</v>
      </c>
      <c r="P7" s="210">
        <f t="shared" si="1"/>
        <v>1610.54</v>
      </c>
      <c r="Q7" s="210">
        <f t="shared" si="1"/>
        <v>1593.3400000000001</v>
      </c>
      <c r="R7" s="210">
        <f t="shared" si="1"/>
        <v>1710.44</v>
      </c>
      <c r="S7" s="210">
        <f t="shared" si="1"/>
        <v>1691.3400000000001</v>
      </c>
      <c r="T7" s="210">
        <f t="shared" si="1"/>
        <v>1705.8400000000001</v>
      </c>
      <c r="U7" s="210">
        <f t="shared" si="1"/>
        <v>1653.8400000000001</v>
      </c>
      <c r="V7" s="210">
        <f t="shared" si="1"/>
        <v>1653.8400000000001</v>
      </c>
      <c r="W7" s="210">
        <f t="shared" si="1"/>
        <v>1675.8400000000001</v>
      </c>
      <c r="X7" s="210">
        <f t="shared" si="1"/>
        <v>1701.8400000000001</v>
      </c>
      <c r="Y7" s="210">
        <f t="shared" si="1"/>
        <v>1768.8400000000001</v>
      </c>
      <c r="Z7" s="210">
        <f t="shared" si="1"/>
        <v>1830.1399999999999</v>
      </c>
      <c r="AA7" s="210">
        <f t="shared" si="1"/>
        <v>1806.1399999999999</v>
      </c>
      <c r="AB7" s="210">
        <f t="shared" si="1"/>
        <v>1747.54</v>
      </c>
      <c r="AC7" s="210">
        <f t="shared" si="1"/>
        <v>1747.44</v>
      </c>
      <c r="AD7" s="210">
        <f t="shared" si="1"/>
        <v>1745.8400000000001</v>
      </c>
      <c r="AE7" s="210">
        <f t="shared" si="1"/>
        <v>1794.94</v>
      </c>
      <c r="AF7" s="210">
        <f t="shared" si="1"/>
        <v>1688.34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53.2</v>
      </c>
      <c r="C11" s="221">
        <v>53.2</v>
      </c>
      <c r="D11" s="221">
        <v>53.2</v>
      </c>
      <c r="E11" s="222">
        <v>53</v>
      </c>
      <c r="F11" s="222">
        <v>53</v>
      </c>
      <c r="G11" s="222">
        <v>53</v>
      </c>
      <c r="H11" s="222">
        <v>53</v>
      </c>
      <c r="I11" s="221">
        <v>53</v>
      </c>
      <c r="J11" s="221">
        <v>53</v>
      </c>
      <c r="K11" s="221">
        <v>53</v>
      </c>
      <c r="L11" s="221">
        <v>53</v>
      </c>
      <c r="M11" s="221">
        <v>53</v>
      </c>
      <c r="N11" s="221">
        <v>53</v>
      </c>
      <c r="O11" s="221">
        <v>52.9</v>
      </c>
      <c r="P11" s="221">
        <v>52.9</v>
      </c>
      <c r="Q11" s="221">
        <v>52.9</v>
      </c>
      <c r="R11" s="221">
        <v>52.9</v>
      </c>
      <c r="S11" s="221">
        <v>52.9</v>
      </c>
      <c r="T11" s="221">
        <v>52.9</v>
      </c>
      <c r="U11" s="221">
        <v>52.9</v>
      </c>
      <c r="V11" s="221">
        <v>52.9</v>
      </c>
      <c r="W11" s="221">
        <v>52.9</v>
      </c>
      <c r="X11" s="221">
        <v>52.9</v>
      </c>
      <c r="Y11" s="221">
        <v>52.9</v>
      </c>
      <c r="Z11" s="221">
        <v>53.1</v>
      </c>
      <c r="AA11" s="221">
        <v>53.1</v>
      </c>
      <c r="AB11" s="221">
        <v>53.1</v>
      </c>
      <c r="AC11" s="221">
        <v>53.1</v>
      </c>
      <c r="AD11" s="221">
        <v>53.1</v>
      </c>
      <c r="AE11" s="221">
        <v>53.1</v>
      </c>
      <c r="AF11" s="221">
        <v>53.1</v>
      </c>
      <c r="AG11" s="225">
        <v>52.4</v>
      </c>
      <c r="AH11" s="226">
        <f>MAX(B11:AF11)</f>
        <v>53.2</v>
      </c>
      <c r="AI11" s="227">
        <f>MIN(B11:AF11)</f>
        <v>52.9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50.2</v>
      </c>
      <c r="C12" s="221">
        <v>50.2</v>
      </c>
      <c r="D12" s="221">
        <v>50.2</v>
      </c>
      <c r="E12" s="221">
        <v>50.2</v>
      </c>
      <c r="F12" s="221">
        <v>50.2</v>
      </c>
      <c r="G12" s="221">
        <v>50.2</v>
      </c>
      <c r="H12" s="221">
        <v>50.2</v>
      </c>
      <c r="I12" s="221">
        <v>50.2</v>
      </c>
      <c r="J12" s="221">
        <v>50.2</v>
      </c>
      <c r="K12" s="221">
        <v>50.2</v>
      </c>
      <c r="L12" s="221">
        <v>50.2</v>
      </c>
      <c r="M12" s="221">
        <v>50.2</v>
      </c>
      <c r="N12" s="221">
        <v>50.2</v>
      </c>
      <c r="O12" s="221">
        <v>50.2</v>
      </c>
      <c r="P12" s="221">
        <v>50.2</v>
      </c>
      <c r="Q12" s="221">
        <v>50.2</v>
      </c>
      <c r="R12" s="221">
        <v>50.2</v>
      </c>
      <c r="S12" s="221">
        <v>50.2</v>
      </c>
      <c r="T12" s="221">
        <v>50.2</v>
      </c>
      <c r="U12" s="221">
        <v>50.2</v>
      </c>
      <c r="V12" s="221">
        <v>50.2</v>
      </c>
      <c r="W12" s="221">
        <v>50.2</v>
      </c>
      <c r="X12" s="221">
        <v>50.2</v>
      </c>
      <c r="Y12" s="221">
        <v>50.2</v>
      </c>
      <c r="Z12" s="221">
        <v>50.5</v>
      </c>
      <c r="AA12" s="221">
        <v>50.5</v>
      </c>
      <c r="AB12" s="221">
        <v>50.5</v>
      </c>
      <c r="AC12" s="221">
        <v>50.5</v>
      </c>
      <c r="AD12" s="221">
        <v>50.5</v>
      </c>
      <c r="AE12" s="221">
        <v>50.5</v>
      </c>
      <c r="AF12" s="221">
        <v>50.5</v>
      </c>
      <c r="AG12" s="229">
        <v>50</v>
      </c>
      <c r="AH12" s="226">
        <f t="shared" ref="AH12:AH79" si="2">MAX(B12:AF12)</f>
        <v>50.5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45.9</v>
      </c>
      <c r="C13" s="221">
        <v>45.9</v>
      </c>
      <c r="D13" s="221">
        <v>45.9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45.8</v>
      </c>
      <c r="P13" s="221">
        <v>45.8</v>
      </c>
      <c r="Q13" s="221">
        <v>45.8</v>
      </c>
      <c r="R13" s="221">
        <v>45.8</v>
      </c>
      <c r="S13" s="221">
        <v>45.8</v>
      </c>
      <c r="T13" s="221">
        <v>45.8</v>
      </c>
      <c r="U13" s="221">
        <v>45.8</v>
      </c>
      <c r="V13" s="221">
        <v>45.8</v>
      </c>
      <c r="W13" s="221">
        <v>45.8</v>
      </c>
      <c r="X13" s="221">
        <v>45.8</v>
      </c>
      <c r="Y13" s="221">
        <v>45.8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45.8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35</v>
      </c>
      <c r="C14" s="221">
        <v>35</v>
      </c>
      <c r="D14" s="221">
        <v>35</v>
      </c>
      <c r="E14" s="221">
        <v>30</v>
      </c>
      <c r="F14" s="221">
        <v>27</v>
      </c>
      <c r="G14" s="221">
        <v>27</v>
      </c>
      <c r="H14" s="221">
        <v>27</v>
      </c>
      <c r="I14" s="221">
        <v>27</v>
      </c>
      <c r="J14" s="221">
        <v>27</v>
      </c>
      <c r="K14" s="221">
        <v>27</v>
      </c>
      <c r="L14" s="221">
        <v>27</v>
      </c>
      <c r="M14" s="221">
        <v>28</v>
      </c>
      <c r="N14" s="221">
        <v>28</v>
      </c>
      <c r="O14" s="221">
        <v>28</v>
      </c>
      <c r="P14" s="221">
        <v>28</v>
      </c>
      <c r="Q14" s="221">
        <v>28</v>
      </c>
      <c r="R14" s="221">
        <v>28</v>
      </c>
      <c r="S14" s="221">
        <v>28</v>
      </c>
      <c r="T14" s="221">
        <v>28</v>
      </c>
      <c r="U14" s="221">
        <v>28</v>
      </c>
      <c r="V14" s="221">
        <v>28</v>
      </c>
      <c r="W14" s="221">
        <v>28</v>
      </c>
      <c r="X14" s="221">
        <v>28</v>
      </c>
      <c r="Y14" s="221">
        <v>28</v>
      </c>
      <c r="Z14" s="221">
        <v>40</v>
      </c>
      <c r="AA14" s="221">
        <v>35</v>
      </c>
      <c r="AB14" s="221">
        <v>34</v>
      </c>
      <c r="AC14" s="221">
        <v>30</v>
      </c>
      <c r="AD14" s="221">
        <v>30</v>
      </c>
      <c r="AE14" s="221">
        <v>30</v>
      </c>
      <c r="AF14" s="221">
        <v>32</v>
      </c>
      <c r="AG14" s="229">
        <v>42</v>
      </c>
      <c r="AH14" s="226">
        <f t="shared" si="2"/>
        <v>40</v>
      </c>
      <c r="AI14" s="227">
        <f t="shared" si="3"/>
        <v>27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30</v>
      </c>
      <c r="C15" s="221">
        <v>30</v>
      </c>
      <c r="D15" s="221">
        <v>30</v>
      </c>
      <c r="E15" s="221">
        <v>10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10</v>
      </c>
      <c r="M15" s="221">
        <v>10</v>
      </c>
      <c r="N15" s="221">
        <v>10</v>
      </c>
      <c r="O15" s="221">
        <v>0</v>
      </c>
      <c r="P15" s="221">
        <v>0</v>
      </c>
      <c r="Q15" s="221">
        <v>0</v>
      </c>
      <c r="R15" s="221">
        <v>0</v>
      </c>
      <c r="S15" s="221">
        <v>0</v>
      </c>
      <c r="T15" s="221">
        <v>0</v>
      </c>
      <c r="U15" s="221">
        <v>0</v>
      </c>
      <c r="V15" s="221">
        <v>0</v>
      </c>
      <c r="W15" s="221">
        <v>0</v>
      </c>
      <c r="X15" s="221">
        <v>0</v>
      </c>
      <c r="Y15" s="221">
        <v>0</v>
      </c>
      <c r="Z15" s="221">
        <v>25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10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25.3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24.2</v>
      </c>
      <c r="K16" s="221">
        <v>24.2</v>
      </c>
      <c r="L16" s="221">
        <v>24.2</v>
      </c>
      <c r="M16" s="221">
        <v>24.2</v>
      </c>
      <c r="N16" s="221">
        <v>24.2</v>
      </c>
      <c r="O16" s="221">
        <v>25</v>
      </c>
      <c r="P16" s="221">
        <v>25</v>
      </c>
      <c r="Q16" s="221">
        <v>25</v>
      </c>
      <c r="R16" s="221">
        <v>25</v>
      </c>
      <c r="S16" s="221">
        <v>25</v>
      </c>
      <c r="T16" s="221">
        <v>25</v>
      </c>
      <c r="U16" s="221">
        <v>25</v>
      </c>
      <c r="V16" s="221">
        <v>25</v>
      </c>
      <c r="W16" s="221">
        <v>25</v>
      </c>
      <c r="X16" s="221">
        <v>25</v>
      </c>
      <c r="Y16" s="221">
        <v>25</v>
      </c>
      <c r="Z16" s="221">
        <v>25</v>
      </c>
      <c r="AA16" s="221">
        <v>25</v>
      </c>
      <c r="AB16" s="221">
        <v>25</v>
      </c>
      <c r="AC16" s="221">
        <v>25</v>
      </c>
      <c r="AD16" s="221">
        <v>25.3</v>
      </c>
      <c r="AE16" s="221">
        <v>25.3</v>
      </c>
      <c r="AF16" s="221">
        <v>25.3</v>
      </c>
      <c r="AG16" s="229">
        <v>25</v>
      </c>
      <c r="AH16" s="226">
        <f t="shared" si="2"/>
        <v>25.3</v>
      </c>
      <c r="AI16" s="227">
        <f t="shared" si="3"/>
        <v>24.2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23</v>
      </c>
      <c r="J17" s="221">
        <v>23</v>
      </c>
      <c r="K17" s="221">
        <v>23</v>
      </c>
      <c r="L17" s="221">
        <v>25</v>
      </c>
      <c r="M17" s="221">
        <v>25</v>
      </c>
      <c r="N17" s="221">
        <v>25</v>
      </c>
      <c r="O17" s="221">
        <v>23</v>
      </c>
      <c r="P17" s="221">
        <v>23</v>
      </c>
      <c r="Q17" s="221">
        <v>23</v>
      </c>
      <c r="R17" s="221">
        <v>23</v>
      </c>
      <c r="S17" s="221">
        <v>23</v>
      </c>
      <c r="T17" s="221">
        <v>23</v>
      </c>
      <c r="U17" s="221">
        <v>23</v>
      </c>
      <c r="V17" s="221">
        <v>23</v>
      </c>
      <c r="W17" s="221">
        <v>23</v>
      </c>
      <c r="X17" s="221">
        <v>23</v>
      </c>
      <c r="Y17" s="221">
        <v>23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23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33.200000000000003</v>
      </c>
      <c r="E19" s="221">
        <v>33.200000000000003</v>
      </c>
      <c r="F19" s="221">
        <v>24</v>
      </c>
      <c r="G19" s="221">
        <v>24</v>
      </c>
      <c r="H19" s="221">
        <v>24</v>
      </c>
      <c r="I19" s="221">
        <v>24</v>
      </c>
      <c r="J19" s="221">
        <v>24</v>
      </c>
      <c r="K19" s="221">
        <v>24</v>
      </c>
      <c r="L19" s="221">
        <v>24</v>
      </c>
      <c r="M19" s="221">
        <v>25</v>
      </c>
      <c r="N19" s="221">
        <v>25</v>
      </c>
      <c r="O19" s="221">
        <v>25.3</v>
      </c>
      <c r="P19" s="221">
        <v>25.3</v>
      </c>
      <c r="Q19" s="221">
        <v>25.3</v>
      </c>
      <c r="R19" s="221">
        <v>25.3</v>
      </c>
      <c r="S19" s="221">
        <v>25.3</v>
      </c>
      <c r="T19" s="221">
        <v>25.3</v>
      </c>
      <c r="U19" s="221">
        <v>25.3</v>
      </c>
      <c r="V19" s="221">
        <v>25.3</v>
      </c>
      <c r="W19" s="221">
        <v>25.3</v>
      </c>
      <c r="X19" s="221">
        <v>25.3</v>
      </c>
      <c r="Y19" s="221">
        <v>25.3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33.200000000000003</v>
      </c>
      <c r="AI19" s="227">
        <f t="shared" si="3"/>
        <v>24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</v>
      </c>
      <c r="C20" s="221">
        <v>23</v>
      </c>
      <c r="D20" s="221">
        <v>23</v>
      </c>
      <c r="E20" s="221">
        <v>23</v>
      </c>
      <c r="F20" s="221">
        <v>23</v>
      </c>
      <c r="G20" s="221">
        <v>23</v>
      </c>
      <c r="H20" s="221">
        <v>23</v>
      </c>
      <c r="I20" s="221">
        <v>23</v>
      </c>
      <c r="J20" s="221">
        <v>23</v>
      </c>
      <c r="K20" s="221">
        <v>23</v>
      </c>
      <c r="L20" s="221">
        <v>23</v>
      </c>
      <c r="M20" s="221">
        <v>23</v>
      </c>
      <c r="N20" s="221">
        <v>23</v>
      </c>
      <c r="O20" s="221">
        <v>23</v>
      </c>
      <c r="P20" s="221">
        <v>23</v>
      </c>
      <c r="Q20" s="221">
        <v>23</v>
      </c>
      <c r="R20" s="221">
        <v>23</v>
      </c>
      <c r="S20" s="221">
        <v>23</v>
      </c>
      <c r="T20" s="221">
        <v>23</v>
      </c>
      <c r="U20" s="221">
        <v>23</v>
      </c>
      <c r="V20" s="221">
        <v>23</v>
      </c>
      <c r="W20" s="221">
        <v>23</v>
      </c>
      <c r="X20" s="221">
        <v>23</v>
      </c>
      <c r="Y20" s="221">
        <v>23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23.6</v>
      </c>
      <c r="AE20" s="221">
        <v>23.6</v>
      </c>
      <c r="AF20" s="221">
        <v>23.6</v>
      </c>
      <c r="AG20" s="229">
        <v>23.5</v>
      </c>
      <c r="AH20" s="226">
        <f t="shared" si="2"/>
        <v>23.6</v>
      </c>
      <c r="AI20" s="227">
        <f t="shared" si="3"/>
        <v>23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10</v>
      </c>
      <c r="AA22" s="221">
        <v>10</v>
      </c>
      <c r="AB22" s="221">
        <v>10</v>
      </c>
      <c r="AC22" s="221">
        <v>10</v>
      </c>
      <c r="AD22" s="221">
        <v>10</v>
      </c>
      <c r="AE22" s="221">
        <v>10</v>
      </c>
      <c r="AF22" s="221">
        <v>10</v>
      </c>
      <c r="AG22" s="229">
        <v>22.1</v>
      </c>
      <c r="AH22" s="226">
        <f t="shared" si="2"/>
        <v>22</v>
      </c>
      <c r="AI22" s="227">
        <f t="shared" si="3"/>
        <v>10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20</v>
      </c>
      <c r="J23" s="221">
        <v>20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15</v>
      </c>
      <c r="C24" s="221">
        <v>15</v>
      </c>
      <c r="D24" s="221">
        <v>15</v>
      </c>
      <c r="E24" s="221">
        <v>15</v>
      </c>
      <c r="F24" s="221">
        <v>18</v>
      </c>
      <c r="G24" s="221">
        <v>18</v>
      </c>
      <c r="H24" s="221">
        <v>18</v>
      </c>
      <c r="I24" s="221">
        <v>18</v>
      </c>
      <c r="J24" s="221">
        <v>0</v>
      </c>
      <c r="K24" s="221">
        <v>0</v>
      </c>
      <c r="L24" s="221">
        <v>0</v>
      </c>
      <c r="M24" s="221">
        <v>19</v>
      </c>
      <c r="N24" s="221">
        <v>19</v>
      </c>
      <c r="O24" s="221">
        <v>19</v>
      </c>
      <c r="P24" s="221">
        <v>19</v>
      </c>
      <c r="Q24" s="221">
        <v>19</v>
      </c>
      <c r="R24" s="221">
        <v>19</v>
      </c>
      <c r="S24" s="221">
        <v>19</v>
      </c>
      <c r="T24" s="221">
        <v>19</v>
      </c>
      <c r="U24" s="221">
        <v>19</v>
      </c>
      <c r="V24" s="221">
        <v>19</v>
      </c>
      <c r="W24" s="221">
        <v>19</v>
      </c>
      <c r="X24" s="221">
        <v>19</v>
      </c>
      <c r="Y24" s="221">
        <v>19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20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10</v>
      </c>
      <c r="D25" s="221">
        <v>10</v>
      </c>
      <c r="E25" s="221">
        <v>10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5</v>
      </c>
      <c r="N25" s="221">
        <v>5</v>
      </c>
      <c r="O25" s="221">
        <v>0</v>
      </c>
      <c r="P25" s="221">
        <v>0</v>
      </c>
      <c r="Q25" s="221">
        <v>0</v>
      </c>
      <c r="R25" s="221">
        <v>0</v>
      </c>
      <c r="S25" s="221">
        <v>0</v>
      </c>
      <c r="T25" s="221">
        <v>0</v>
      </c>
      <c r="U25" s="221">
        <v>0</v>
      </c>
      <c r="V25" s="221">
        <v>0</v>
      </c>
      <c r="W25" s="221">
        <v>0</v>
      </c>
      <c r="X25" s="221">
        <v>0</v>
      </c>
      <c r="Y25" s="221">
        <v>0</v>
      </c>
      <c r="Z25" s="221">
        <v>10</v>
      </c>
      <c r="AA25" s="221">
        <v>14</v>
      </c>
      <c r="AB25" s="221">
        <v>14</v>
      </c>
      <c r="AC25" s="221">
        <v>14</v>
      </c>
      <c r="AD25" s="221">
        <v>10</v>
      </c>
      <c r="AE25" s="221">
        <v>10</v>
      </c>
      <c r="AF25" s="221">
        <v>10</v>
      </c>
      <c r="AG25" s="229">
        <v>20</v>
      </c>
      <c r="AH25" s="226">
        <f t="shared" si="2"/>
        <v>14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7.8</v>
      </c>
      <c r="C26" s="221">
        <v>7.8</v>
      </c>
      <c r="D26" s="221">
        <v>7.8</v>
      </c>
      <c r="E26" s="221">
        <v>7.8</v>
      </c>
      <c r="F26" s="221">
        <v>7.8</v>
      </c>
      <c r="G26" s="221">
        <v>7.8</v>
      </c>
      <c r="H26" s="221">
        <v>7.8</v>
      </c>
      <c r="I26" s="221">
        <v>7.8</v>
      </c>
      <c r="J26" s="221">
        <v>7.8</v>
      </c>
      <c r="K26" s="221">
        <v>7.8</v>
      </c>
      <c r="L26" s="221">
        <v>7.8</v>
      </c>
      <c r="M26" s="221">
        <v>7.8</v>
      </c>
      <c r="N26" s="221">
        <v>7.8</v>
      </c>
      <c r="O26" s="221">
        <v>7.8</v>
      </c>
      <c r="P26" s="221">
        <v>7.8</v>
      </c>
      <c r="Q26" s="221">
        <v>7.8</v>
      </c>
      <c r="R26" s="221">
        <v>7.8</v>
      </c>
      <c r="S26" s="221">
        <v>7.8</v>
      </c>
      <c r="T26" s="221">
        <v>7.8</v>
      </c>
      <c r="U26" s="221">
        <v>7.8</v>
      </c>
      <c r="V26" s="221">
        <v>7.8</v>
      </c>
      <c r="W26" s="221">
        <v>7.8</v>
      </c>
      <c r="X26" s="221">
        <v>7.8</v>
      </c>
      <c r="Y26" s="221">
        <v>7.8</v>
      </c>
      <c r="Z26" s="221">
        <v>7.8</v>
      </c>
      <c r="AA26" s="221">
        <v>7.8</v>
      </c>
      <c r="AB26" s="221">
        <v>7.8</v>
      </c>
      <c r="AC26" s="221">
        <v>7.8</v>
      </c>
      <c r="AD26" s="221">
        <v>7.8</v>
      </c>
      <c r="AE26" s="221">
        <v>7.8</v>
      </c>
      <c r="AF26" s="221">
        <v>7.8</v>
      </c>
      <c r="AG26" s="229">
        <v>14.9</v>
      </c>
      <c r="AH26" s="226">
        <f t="shared" si="2"/>
        <v>7.8</v>
      </c>
      <c r="AI26" s="227">
        <f t="shared" si="3"/>
        <v>7.8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8</v>
      </c>
      <c r="C27" s="221">
        <v>8</v>
      </c>
      <c r="D27" s="221">
        <v>8</v>
      </c>
      <c r="E27" s="221">
        <v>8</v>
      </c>
      <c r="F27" s="221">
        <v>8</v>
      </c>
      <c r="G27" s="221">
        <v>8</v>
      </c>
      <c r="H27" s="221">
        <v>8</v>
      </c>
      <c r="I27" s="221">
        <v>8</v>
      </c>
      <c r="J27" s="221">
        <v>8</v>
      </c>
      <c r="K27" s="221">
        <v>8</v>
      </c>
      <c r="L27" s="221">
        <v>8</v>
      </c>
      <c r="M27" s="221">
        <v>8</v>
      </c>
      <c r="N27" s="221">
        <v>8</v>
      </c>
      <c r="O27" s="221">
        <v>8</v>
      </c>
      <c r="P27" s="221">
        <v>8</v>
      </c>
      <c r="Q27" s="221">
        <v>8</v>
      </c>
      <c r="R27" s="221">
        <v>8</v>
      </c>
      <c r="S27" s="221">
        <v>8</v>
      </c>
      <c r="T27" s="221">
        <v>8</v>
      </c>
      <c r="U27" s="221">
        <v>8</v>
      </c>
      <c r="V27" s="221">
        <v>8</v>
      </c>
      <c r="W27" s="221">
        <v>8</v>
      </c>
      <c r="X27" s="221">
        <v>8</v>
      </c>
      <c r="Y27" s="221">
        <v>8</v>
      </c>
      <c r="Z27" s="221">
        <v>8</v>
      </c>
      <c r="AA27" s="221">
        <v>8</v>
      </c>
      <c r="AB27" s="221">
        <v>8</v>
      </c>
      <c r="AC27" s="221">
        <v>8</v>
      </c>
      <c r="AD27" s="221">
        <v>8</v>
      </c>
      <c r="AE27" s="221">
        <v>8</v>
      </c>
      <c r="AF27" s="221">
        <v>8</v>
      </c>
      <c r="AG27" s="229">
        <v>13.6</v>
      </c>
      <c r="AH27" s="226">
        <f t="shared" si="2"/>
        <v>8</v>
      </c>
      <c r="AI27" s="227">
        <f t="shared" si="3"/>
        <v>8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0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  <c r="Q29" s="221">
        <v>0</v>
      </c>
      <c r="R29" s="221">
        <v>4</v>
      </c>
      <c r="S29" s="221">
        <v>8</v>
      </c>
      <c r="T29" s="221">
        <v>8</v>
      </c>
      <c r="U29" s="221">
        <v>8</v>
      </c>
      <c r="V29" s="221">
        <v>8</v>
      </c>
      <c r="W29" s="221">
        <v>8</v>
      </c>
      <c r="X29" s="221">
        <v>8</v>
      </c>
      <c r="Y29" s="221">
        <v>8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11.5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290</v>
      </c>
      <c r="C36" s="237">
        <v>290</v>
      </c>
      <c r="D36" s="237">
        <v>290</v>
      </c>
      <c r="E36" s="237">
        <v>290</v>
      </c>
      <c r="F36" s="237">
        <v>290</v>
      </c>
      <c r="G36" s="237">
        <v>290</v>
      </c>
      <c r="H36" s="237">
        <v>290</v>
      </c>
      <c r="I36" s="237">
        <v>290</v>
      </c>
      <c r="J36" s="237">
        <v>290</v>
      </c>
      <c r="K36" s="237">
        <v>290</v>
      </c>
      <c r="L36" s="237">
        <v>290</v>
      </c>
      <c r="M36" s="237">
        <v>290</v>
      </c>
      <c r="N36" s="237">
        <v>290</v>
      </c>
      <c r="O36" s="237">
        <v>290</v>
      </c>
      <c r="P36" s="237">
        <v>290</v>
      </c>
      <c r="Q36" s="237">
        <v>290</v>
      </c>
      <c r="R36" s="237">
        <v>290</v>
      </c>
      <c r="S36" s="237">
        <v>290</v>
      </c>
      <c r="T36" s="237">
        <v>290</v>
      </c>
      <c r="U36" s="237">
        <v>290</v>
      </c>
      <c r="V36" s="237">
        <v>290</v>
      </c>
      <c r="W36" s="237">
        <v>290</v>
      </c>
      <c r="X36" s="237">
        <v>290</v>
      </c>
      <c r="Y36" s="237">
        <v>290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290</v>
      </c>
      <c r="AK36" s="228"/>
    </row>
    <row r="37" spans="1:88" ht="15.75" thickBot="1" x14ac:dyDescent="0.3">
      <c r="A37" s="238" t="s">
        <v>45</v>
      </c>
      <c r="B37" s="239">
        <v>178.2</v>
      </c>
      <c r="C37" s="237">
        <v>178.1</v>
      </c>
      <c r="D37" s="237">
        <v>178</v>
      </c>
      <c r="E37" s="237">
        <v>179</v>
      </c>
      <c r="F37" s="237">
        <v>179</v>
      </c>
      <c r="G37" s="237">
        <v>179</v>
      </c>
      <c r="H37" s="237">
        <v>176</v>
      </c>
      <c r="I37" s="237">
        <v>174</v>
      </c>
      <c r="J37" s="237">
        <v>174</v>
      </c>
      <c r="K37" s="237">
        <v>175</v>
      </c>
      <c r="L37" s="237">
        <v>175</v>
      </c>
      <c r="M37" s="237">
        <f>85.7+71.6</f>
        <v>157.30000000000001</v>
      </c>
      <c r="N37" s="237">
        <f>76.9+95.1</f>
        <v>172</v>
      </c>
      <c r="O37" s="237">
        <f>73.9+95.1</f>
        <v>169</v>
      </c>
      <c r="P37" s="237">
        <f>73.9+95.1</f>
        <v>169</v>
      </c>
      <c r="Q37" s="237">
        <f>73.9+95.1</f>
        <v>169</v>
      </c>
      <c r="R37" s="237">
        <f>73.9+95.1</f>
        <v>169</v>
      </c>
      <c r="S37" s="237">
        <f>75.5+100.2</f>
        <v>175.7</v>
      </c>
      <c r="T37" s="237">
        <v>176</v>
      </c>
      <c r="U37" s="237">
        <v>176</v>
      </c>
      <c r="V37" s="237">
        <v>176</v>
      </c>
      <c r="W37" s="237">
        <v>176</v>
      </c>
      <c r="X37" s="237">
        <v>176</v>
      </c>
      <c r="Y37" s="237">
        <v>176</v>
      </c>
      <c r="Z37" s="237">
        <v>176</v>
      </c>
      <c r="AA37" s="237">
        <v>176</v>
      </c>
      <c r="AB37" s="239">
        <f>99+77.2</f>
        <v>176.2</v>
      </c>
      <c r="AC37" s="239">
        <f>99.4+76.9</f>
        <v>176.3</v>
      </c>
      <c r="AD37" s="239">
        <v>174.8</v>
      </c>
      <c r="AE37" s="239">
        <f>178.3</f>
        <v>178.3</v>
      </c>
      <c r="AF37" s="239">
        <f>95.9+77.5</f>
        <v>173.4</v>
      </c>
      <c r="AG37" s="235">
        <v>240</v>
      </c>
      <c r="AH37" s="226">
        <f t="shared" si="2"/>
        <v>179</v>
      </c>
      <c r="AI37" s="227">
        <f t="shared" si="3"/>
        <v>157.30000000000001</v>
      </c>
      <c r="AK37" s="228"/>
    </row>
    <row r="38" spans="1:88" ht="15.75" thickBot="1" x14ac:dyDescent="0.3">
      <c r="A38" s="240" t="s">
        <v>46</v>
      </c>
      <c r="B38" s="241">
        <v>794.8</v>
      </c>
      <c r="C38" s="241">
        <f t="shared" ref="C38:AG38" si="4">SUM(C11:C36)</f>
        <v>807.1</v>
      </c>
      <c r="D38" s="241">
        <f t="shared" si="4"/>
        <v>807.1</v>
      </c>
      <c r="E38" s="241">
        <f t="shared" si="4"/>
        <v>781.9</v>
      </c>
      <c r="F38" s="241">
        <f t="shared" si="4"/>
        <v>752.7</v>
      </c>
      <c r="G38" s="241">
        <f t="shared" si="4"/>
        <v>752.7</v>
      </c>
      <c r="H38" s="241">
        <f t="shared" si="4"/>
        <v>752.7</v>
      </c>
      <c r="I38" s="241">
        <f t="shared" si="4"/>
        <v>746.7</v>
      </c>
      <c r="J38" s="241">
        <f t="shared" si="4"/>
        <v>727.59999999999991</v>
      </c>
      <c r="K38" s="241">
        <f t="shared" si="4"/>
        <v>717.59999999999991</v>
      </c>
      <c r="L38" s="241">
        <f t="shared" si="4"/>
        <v>729.59999999999991</v>
      </c>
      <c r="M38" s="241">
        <f t="shared" si="4"/>
        <v>755.59999999999991</v>
      </c>
      <c r="N38" s="241">
        <f t="shared" si="4"/>
        <v>755.59999999999991</v>
      </c>
      <c r="O38" s="241">
        <f t="shared" si="4"/>
        <v>739.5</v>
      </c>
      <c r="P38" s="241">
        <f t="shared" si="4"/>
        <v>739.5</v>
      </c>
      <c r="Q38" s="241">
        <f t="shared" si="4"/>
        <v>739.5</v>
      </c>
      <c r="R38" s="241">
        <f t="shared" si="4"/>
        <v>743.5</v>
      </c>
      <c r="S38" s="241">
        <f t="shared" si="4"/>
        <v>747.5</v>
      </c>
      <c r="T38" s="241">
        <f t="shared" si="4"/>
        <v>747.5</v>
      </c>
      <c r="U38" s="241">
        <f t="shared" si="4"/>
        <v>747.5</v>
      </c>
      <c r="V38" s="241">
        <f t="shared" si="4"/>
        <v>747.5</v>
      </c>
      <c r="W38" s="241">
        <f t="shared" si="4"/>
        <v>747.5</v>
      </c>
      <c r="X38" s="241">
        <f t="shared" si="4"/>
        <v>747.5</v>
      </c>
      <c r="Y38" s="241">
        <f t="shared" si="4"/>
        <v>747.5</v>
      </c>
      <c r="Z38" s="241">
        <f t="shared" si="4"/>
        <v>810.6</v>
      </c>
      <c r="AA38" s="241">
        <f t="shared" si="4"/>
        <v>814.6</v>
      </c>
      <c r="AB38" s="241">
        <f t="shared" si="4"/>
        <v>813.6</v>
      </c>
      <c r="AC38" s="241">
        <f t="shared" si="4"/>
        <v>809.6</v>
      </c>
      <c r="AD38" s="241">
        <f t="shared" si="4"/>
        <v>806</v>
      </c>
      <c r="AE38" s="241">
        <f t="shared" si="4"/>
        <v>806</v>
      </c>
      <c r="AF38" s="241">
        <f t="shared" si="4"/>
        <v>788</v>
      </c>
      <c r="AG38" s="242">
        <f t="shared" si="4"/>
        <v>665.78</v>
      </c>
      <c r="AH38" s="226">
        <f t="shared" si="2"/>
        <v>814.6</v>
      </c>
      <c r="AI38" s="227">
        <f t="shared" si="3"/>
        <v>717.59999999999991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400</v>
      </c>
      <c r="Q39" s="221">
        <v>400</v>
      </c>
      <c r="R39" s="221">
        <v>456</v>
      </c>
      <c r="S39" s="221">
        <v>456</v>
      </c>
      <c r="T39" s="221">
        <v>440</v>
      </c>
      <c r="U39" s="221">
        <v>400</v>
      </c>
      <c r="V39" s="221">
        <v>400</v>
      </c>
      <c r="W39" s="221">
        <v>430</v>
      </c>
      <c r="X39" s="221">
        <v>456</v>
      </c>
      <c r="Y39" s="221">
        <v>456</v>
      </c>
      <c r="Z39" s="221">
        <v>456</v>
      </c>
      <c r="AA39" s="221">
        <v>456</v>
      </c>
      <c r="AB39" s="221">
        <v>380</v>
      </c>
      <c r="AC39" s="221">
        <v>380</v>
      </c>
      <c r="AD39" s="221">
        <v>380</v>
      </c>
      <c r="AE39" s="221">
        <v>456</v>
      </c>
      <c r="AF39" s="221">
        <v>380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14</v>
      </c>
      <c r="C41" s="247">
        <v>14</v>
      </c>
      <c r="D41" s="247">
        <v>14</v>
      </c>
      <c r="E41" s="247">
        <v>14</v>
      </c>
      <c r="F41" s="247">
        <v>17</v>
      </c>
      <c r="G41" s="247">
        <v>17</v>
      </c>
      <c r="H41" s="247">
        <v>15</v>
      </c>
      <c r="I41" s="247">
        <v>15</v>
      </c>
      <c r="J41" s="247">
        <v>15</v>
      </c>
      <c r="K41" s="247">
        <v>15</v>
      </c>
      <c r="L41" s="247">
        <v>15</v>
      </c>
      <c r="M41" s="247">
        <v>15</v>
      </c>
      <c r="N41" s="247">
        <v>15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14</v>
      </c>
      <c r="AK41" s="228"/>
    </row>
    <row r="42" spans="1:88" ht="15.75" thickBot="1" x14ac:dyDescent="0.3">
      <c r="A42" s="249" t="s">
        <v>50</v>
      </c>
      <c r="B42" s="241">
        <v>530</v>
      </c>
      <c r="C42" s="241">
        <f t="shared" ref="C42:AG42" si="5">SUM(C39:C41)</f>
        <v>530</v>
      </c>
      <c r="D42" s="241">
        <f t="shared" si="5"/>
        <v>530</v>
      </c>
      <c r="E42" s="241">
        <f t="shared" si="5"/>
        <v>530</v>
      </c>
      <c r="F42" s="241">
        <f t="shared" si="5"/>
        <v>533</v>
      </c>
      <c r="G42" s="241">
        <f t="shared" si="5"/>
        <v>533</v>
      </c>
      <c r="H42" s="241">
        <f t="shared" si="5"/>
        <v>531</v>
      </c>
      <c r="I42" s="241">
        <f t="shared" si="5"/>
        <v>531</v>
      </c>
      <c r="J42" s="241">
        <f t="shared" si="5"/>
        <v>531</v>
      </c>
      <c r="K42" s="241">
        <f t="shared" si="5"/>
        <v>531</v>
      </c>
      <c r="L42" s="241">
        <f t="shared" si="5"/>
        <v>531</v>
      </c>
      <c r="M42" s="241">
        <f t="shared" si="5"/>
        <v>531</v>
      </c>
      <c r="N42" s="241">
        <f t="shared" si="5"/>
        <v>531</v>
      </c>
      <c r="O42" s="241">
        <f t="shared" si="5"/>
        <v>538</v>
      </c>
      <c r="P42" s="241">
        <f t="shared" si="5"/>
        <v>482</v>
      </c>
      <c r="Q42" s="241">
        <f t="shared" si="5"/>
        <v>482</v>
      </c>
      <c r="R42" s="241">
        <f t="shared" si="5"/>
        <v>538</v>
      </c>
      <c r="S42" s="241">
        <f t="shared" si="5"/>
        <v>538</v>
      </c>
      <c r="T42" s="241">
        <f t="shared" si="5"/>
        <v>522</v>
      </c>
      <c r="U42" s="241">
        <f t="shared" si="5"/>
        <v>482</v>
      </c>
      <c r="V42" s="241">
        <f t="shared" si="5"/>
        <v>482</v>
      </c>
      <c r="W42" s="241">
        <f t="shared" si="5"/>
        <v>512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462</v>
      </c>
      <c r="AC42" s="241">
        <f t="shared" si="5"/>
        <v>462</v>
      </c>
      <c r="AD42" s="241">
        <f t="shared" si="5"/>
        <v>462</v>
      </c>
      <c r="AE42" s="241">
        <f t="shared" si="5"/>
        <v>538</v>
      </c>
      <c r="AF42" s="241">
        <f t="shared" si="5"/>
        <v>462</v>
      </c>
      <c r="AG42" s="242">
        <f t="shared" si="5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142.4</v>
      </c>
      <c r="C43" s="221">
        <v>142.4</v>
      </c>
      <c r="D43" s="221">
        <v>142.4</v>
      </c>
      <c r="E43" s="221">
        <v>141.5</v>
      </c>
      <c r="F43" s="221">
        <v>141.5</v>
      </c>
      <c r="G43" s="221">
        <v>141.5</v>
      </c>
      <c r="H43" s="221">
        <v>141.5</v>
      </c>
      <c r="I43" s="221">
        <v>141.9</v>
      </c>
      <c r="J43" s="221">
        <v>141.9</v>
      </c>
      <c r="K43" s="221">
        <v>142.69999999999999</v>
      </c>
      <c r="L43" s="221">
        <v>142.69999999999999</v>
      </c>
      <c r="M43" s="221">
        <v>142.6</v>
      </c>
      <c r="N43" s="221">
        <v>142.6</v>
      </c>
      <c r="O43" s="221">
        <v>142.30000000000001</v>
      </c>
      <c r="P43" s="221">
        <v>142.30000000000001</v>
      </c>
      <c r="Q43" s="221">
        <v>120</v>
      </c>
      <c r="R43" s="221">
        <v>120</v>
      </c>
      <c r="S43" s="221">
        <v>122</v>
      </c>
      <c r="T43" s="221">
        <v>113</v>
      </c>
      <c r="U43" s="221">
        <v>113</v>
      </c>
      <c r="V43" s="221">
        <v>113</v>
      </c>
      <c r="W43" s="221">
        <v>113</v>
      </c>
      <c r="X43" s="221">
        <v>113</v>
      </c>
      <c r="Y43" s="221">
        <v>140</v>
      </c>
      <c r="Z43" s="221">
        <v>142.80000000000001</v>
      </c>
      <c r="AA43" s="221">
        <v>142.80000000000001</v>
      </c>
      <c r="AB43" s="221">
        <v>142.80000000000001</v>
      </c>
      <c r="AC43" s="221">
        <v>142</v>
      </c>
      <c r="AD43" s="221">
        <v>142</v>
      </c>
      <c r="AE43" s="221">
        <v>142</v>
      </c>
      <c r="AF43" s="221">
        <v>142</v>
      </c>
      <c r="AG43" s="230">
        <v>144</v>
      </c>
      <c r="AH43" s="226">
        <f t="shared" si="2"/>
        <v>142.80000000000001</v>
      </c>
      <c r="AI43" s="227">
        <f t="shared" si="3"/>
        <v>113</v>
      </c>
      <c r="AK43" s="228"/>
    </row>
    <row r="44" spans="1:88" x14ac:dyDescent="0.25">
      <c r="A44" s="234" t="s">
        <v>52</v>
      </c>
      <c r="B44" s="245">
        <v>72.599999999999994</v>
      </c>
      <c r="C44" s="245">
        <v>73.099999999999994</v>
      </c>
      <c r="D44" s="245">
        <v>73.099999999999994</v>
      </c>
      <c r="E44" s="245">
        <v>70</v>
      </c>
      <c r="F44" s="245">
        <v>72</v>
      </c>
      <c r="G44" s="245">
        <v>72</v>
      </c>
      <c r="H44" s="245">
        <v>72</v>
      </c>
      <c r="I44" s="245">
        <v>70</v>
      </c>
      <c r="J44" s="245">
        <v>70</v>
      </c>
      <c r="K44" s="245">
        <v>71.3</v>
      </c>
      <c r="L44" s="245">
        <v>71.3</v>
      </c>
      <c r="M44" s="221">
        <v>72.3</v>
      </c>
      <c r="N44" s="221">
        <v>72.3</v>
      </c>
      <c r="O44" s="221">
        <v>72.400000000000006</v>
      </c>
      <c r="P44" s="221">
        <v>50</v>
      </c>
      <c r="Q44" s="221">
        <v>50</v>
      </c>
      <c r="R44" s="221">
        <v>50</v>
      </c>
      <c r="S44" s="221">
        <v>60</v>
      </c>
      <c r="T44" s="245">
        <v>57</v>
      </c>
      <c r="U44" s="245">
        <v>56</v>
      </c>
      <c r="V44" s="245">
        <v>56</v>
      </c>
      <c r="W44" s="245">
        <v>56</v>
      </c>
      <c r="X44" s="245">
        <v>56</v>
      </c>
      <c r="Y44" s="245">
        <v>70</v>
      </c>
      <c r="Z44" s="245">
        <v>73</v>
      </c>
      <c r="AA44" s="245">
        <v>73</v>
      </c>
      <c r="AB44" s="245">
        <v>73</v>
      </c>
      <c r="AC44" s="245">
        <v>72.8</v>
      </c>
      <c r="AD44" s="245">
        <v>72.8</v>
      </c>
      <c r="AE44" s="245">
        <v>72.5</v>
      </c>
      <c r="AF44" s="245">
        <v>72.5</v>
      </c>
      <c r="AG44" s="235">
        <v>70</v>
      </c>
      <c r="AH44" s="226">
        <f t="shared" si="2"/>
        <v>73.099999999999994</v>
      </c>
      <c r="AI44" s="227">
        <f t="shared" si="3"/>
        <v>50</v>
      </c>
      <c r="AK44" s="228"/>
    </row>
    <row r="45" spans="1:88" x14ac:dyDescent="0.25">
      <c r="A45" s="234" t="s">
        <v>53</v>
      </c>
      <c r="B45" s="245">
        <v>64.5</v>
      </c>
      <c r="C45" s="245">
        <v>64</v>
      </c>
      <c r="D45" s="245">
        <v>64</v>
      </c>
      <c r="E45" s="245">
        <v>64</v>
      </c>
      <c r="F45" s="245">
        <v>64</v>
      </c>
      <c r="G45" s="245">
        <v>64</v>
      </c>
      <c r="H45" s="245">
        <v>64</v>
      </c>
      <c r="I45" s="245">
        <v>64</v>
      </c>
      <c r="J45" s="245">
        <v>64</v>
      </c>
      <c r="K45" s="245">
        <v>63</v>
      </c>
      <c r="L45" s="245">
        <v>63</v>
      </c>
      <c r="M45" s="221">
        <v>63.2</v>
      </c>
      <c r="N45" s="221">
        <v>63.2</v>
      </c>
      <c r="O45" s="221">
        <v>63.5</v>
      </c>
      <c r="P45" s="221">
        <v>50</v>
      </c>
      <c r="Q45" s="221">
        <v>45</v>
      </c>
      <c r="R45" s="221">
        <v>64</v>
      </c>
      <c r="S45" s="221">
        <v>50.8</v>
      </c>
      <c r="T45" s="245">
        <v>64</v>
      </c>
      <c r="U45" s="245">
        <v>53</v>
      </c>
      <c r="V45" s="245">
        <v>53</v>
      </c>
      <c r="W45" s="245">
        <v>53</v>
      </c>
      <c r="X45" s="245">
        <v>53</v>
      </c>
      <c r="Y45" s="245">
        <v>64</v>
      </c>
      <c r="Z45" s="245">
        <v>64.5</v>
      </c>
      <c r="AA45" s="245">
        <v>64.5</v>
      </c>
      <c r="AB45" s="245">
        <v>64.5</v>
      </c>
      <c r="AC45" s="245">
        <v>64.8</v>
      </c>
      <c r="AD45" s="245">
        <v>64.8</v>
      </c>
      <c r="AE45" s="245">
        <v>66.2</v>
      </c>
      <c r="AF45" s="245">
        <v>66.2</v>
      </c>
      <c r="AG45" s="235">
        <v>69</v>
      </c>
      <c r="AH45" s="226">
        <f t="shared" si="2"/>
        <v>66.2</v>
      </c>
      <c r="AI45" s="227">
        <f t="shared" si="3"/>
        <v>45</v>
      </c>
      <c r="AK45" s="228"/>
    </row>
    <row r="46" spans="1:88" x14ac:dyDescent="0.25">
      <c r="A46" s="234" t="s">
        <v>54</v>
      </c>
      <c r="B46" s="237">
        <v>60.7</v>
      </c>
      <c r="C46" s="237">
        <v>60.7</v>
      </c>
      <c r="D46" s="237">
        <v>60.7</v>
      </c>
      <c r="E46" s="237">
        <v>60</v>
      </c>
      <c r="F46" s="237">
        <v>60</v>
      </c>
      <c r="G46" s="237">
        <v>60</v>
      </c>
      <c r="H46" s="237">
        <v>60</v>
      </c>
      <c r="I46" s="237">
        <v>60</v>
      </c>
      <c r="J46" s="237">
        <v>60</v>
      </c>
      <c r="K46" s="237">
        <v>60</v>
      </c>
      <c r="L46" s="237">
        <v>60</v>
      </c>
      <c r="M46" s="221">
        <v>60.7</v>
      </c>
      <c r="N46" s="221">
        <v>60.7</v>
      </c>
      <c r="O46" s="221">
        <v>60.7</v>
      </c>
      <c r="P46" s="221">
        <v>60.7</v>
      </c>
      <c r="Q46" s="221">
        <v>40</v>
      </c>
      <c r="R46" s="221">
        <v>40</v>
      </c>
      <c r="S46" s="221">
        <v>60.7</v>
      </c>
      <c r="T46" s="221">
        <v>40</v>
      </c>
      <c r="U46" s="221">
        <v>40</v>
      </c>
      <c r="V46" s="221">
        <v>40</v>
      </c>
      <c r="W46" s="221">
        <v>40</v>
      </c>
      <c r="X46" s="221">
        <v>40</v>
      </c>
      <c r="Y46" s="245">
        <v>60</v>
      </c>
      <c r="Z46" s="245">
        <v>60.9</v>
      </c>
      <c r="AA46" s="245">
        <v>60.9</v>
      </c>
      <c r="AB46" s="245">
        <v>60.9</v>
      </c>
      <c r="AC46" s="237">
        <v>60.7</v>
      </c>
      <c r="AD46" s="237">
        <v>60.7</v>
      </c>
      <c r="AE46" s="237">
        <v>60.7</v>
      </c>
      <c r="AF46" s="237">
        <v>60.7</v>
      </c>
      <c r="AG46" s="235">
        <v>60</v>
      </c>
      <c r="AH46" s="226">
        <f t="shared" si="2"/>
        <v>60.9</v>
      </c>
      <c r="AI46" s="227">
        <f t="shared" si="3"/>
        <v>40</v>
      </c>
      <c r="AK46" s="228"/>
    </row>
    <row r="47" spans="1:88" x14ac:dyDescent="0.25">
      <c r="A47" s="234" t="s">
        <v>55</v>
      </c>
      <c r="B47" s="237">
        <v>15</v>
      </c>
      <c r="C47" s="237">
        <v>15</v>
      </c>
      <c r="D47" s="237">
        <v>15</v>
      </c>
      <c r="E47" s="237">
        <v>15</v>
      </c>
      <c r="F47" s="237">
        <v>15</v>
      </c>
      <c r="G47" s="237">
        <v>15</v>
      </c>
      <c r="H47" s="237">
        <v>15</v>
      </c>
      <c r="I47" s="237">
        <v>15</v>
      </c>
      <c r="J47" s="237">
        <v>15</v>
      </c>
      <c r="K47" s="237">
        <v>15</v>
      </c>
      <c r="L47" s="237">
        <v>15</v>
      </c>
      <c r="M47" s="221">
        <v>15</v>
      </c>
      <c r="N47" s="221">
        <v>15</v>
      </c>
      <c r="O47" s="221">
        <v>15</v>
      </c>
      <c r="P47" s="221">
        <v>15</v>
      </c>
      <c r="Q47" s="221">
        <v>0</v>
      </c>
      <c r="R47" s="221">
        <v>15</v>
      </c>
      <c r="S47" s="221">
        <v>15</v>
      </c>
      <c r="T47" s="221">
        <v>15</v>
      </c>
      <c r="U47" s="221">
        <v>15</v>
      </c>
      <c r="V47" s="221">
        <v>15</v>
      </c>
      <c r="W47" s="221">
        <v>15</v>
      </c>
      <c r="X47" s="221">
        <v>15</v>
      </c>
      <c r="Y47" s="245">
        <v>15</v>
      </c>
      <c r="Z47" s="245">
        <v>15</v>
      </c>
      <c r="AA47" s="245">
        <v>15</v>
      </c>
      <c r="AB47" s="245">
        <v>15</v>
      </c>
      <c r="AC47" s="237">
        <v>15</v>
      </c>
      <c r="AD47" s="237">
        <v>15</v>
      </c>
      <c r="AE47" s="237">
        <v>15</v>
      </c>
      <c r="AF47" s="237">
        <v>15</v>
      </c>
      <c r="AG47" s="235">
        <v>30</v>
      </c>
      <c r="AH47" s="226">
        <f t="shared" si="2"/>
        <v>15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8</v>
      </c>
      <c r="N48" s="221">
        <v>8</v>
      </c>
      <c r="O48" s="221">
        <v>8</v>
      </c>
      <c r="P48" s="221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6</v>
      </c>
      <c r="C49" s="245">
        <v>6</v>
      </c>
      <c r="D49" s="245">
        <v>6</v>
      </c>
      <c r="E49" s="245">
        <v>6</v>
      </c>
      <c r="F49" s="245">
        <v>4</v>
      </c>
      <c r="G49" s="245">
        <v>4</v>
      </c>
      <c r="H49" s="245">
        <v>4</v>
      </c>
      <c r="I49" s="245">
        <v>4</v>
      </c>
      <c r="J49" s="245">
        <v>5</v>
      </c>
      <c r="K49" s="245">
        <v>5</v>
      </c>
      <c r="L49" s="245">
        <v>5</v>
      </c>
      <c r="M49" s="221">
        <v>5</v>
      </c>
      <c r="N49" s="221">
        <v>5</v>
      </c>
      <c r="O49" s="221">
        <v>17.399999999999999</v>
      </c>
      <c r="P49" s="221">
        <v>17.399999999999999</v>
      </c>
      <c r="Q49" s="221">
        <v>17.399999999999999</v>
      </c>
      <c r="R49" s="221">
        <v>17.399999999999999</v>
      </c>
      <c r="S49" s="221">
        <v>17.399999999999999</v>
      </c>
      <c r="T49" s="221">
        <v>17.399999999999999</v>
      </c>
      <c r="U49" s="221">
        <v>17.399999999999999</v>
      </c>
      <c r="V49" s="221">
        <v>17.399999999999999</v>
      </c>
      <c r="W49" s="221">
        <v>17.399999999999999</v>
      </c>
      <c r="X49" s="221">
        <v>17.399999999999999</v>
      </c>
      <c r="Y49" s="221">
        <v>17.399999999999999</v>
      </c>
      <c r="Z49" s="221">
        <v>5.7</v>
      </c>
      <c r="AA49" s="221">
        <v>5.7</v>
      </c>
      <c r="AB49" s="221">
        <v>17</v>
      </c>
      <c r="AC49" s="221">
        <v>17</v>
      </c>
      <c r="AD49" s="221">
        <v>17</v>
      </c>
      <c r="AE49" s="221">
        <v>17</v>
      </c>
      <c r="AF49" s="221">
        <v>17</v>
      </c>
      <c r="AG49" s="235">
        <v>24</v>
      </c>
      <c r="AH49" s="226">
        <f t="shared" si="2"/>
        <v>17.399999999999999</v>
      </c>
      <c r="AI49" s="227">
        <f t="shared" si="3"/>
        <v>4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2.8</v>
      </c>
      <c r="AA50" s="221">
        <v>2.8</v>
      </c>
      <c r="AB50" s="221">
        <v>2.8</v>
      </c>
      <c r="AC50" s="221">
        <v>2.8</v>
      </c>
      <c r="AD50" s="221">
        <v>2.8</v>
      </c>
      <c r="AE50" s="221">
        <v>2.8</v>
      </c>
      <c r="AF50" s="221">
        <v>2.8</v>
      </c>
      <c r="AG50" s="235">
        <v>15</v>
      </c>
      <c r="AH50" s="226">
        <f t="shared" si="2"/>
        <v>3</v>
      </c>
      <c r="AI50" s="227">
        <f t="shared" si="3"/>
        <v>2.8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3</v>
      </c>
      <c r="C51" s="245">
        <v>3</v>
      </c>
      <c r="D51" s="245">
        <v>3</v>
      </c>
      <c r="E51" s="245">
        <v>3</v>
      </c>
      <c r="F51" s="245">
        <v>2</v>
      </c>
      <c r="G51" s="245">
        <v>2</v>
      </c>
      <c r="H51" s="245">
        <v>2</v>
      </c>
      <c r="I51" s="245">
        <v>2</v>
      </c>
      <c r="J51" s="245">
        <v>2</v>
      </c>
      <c r="K51" s="245">
        <v>3</v>
      </c>
      <c r="L51" s="245">
        <v>3</v>
      </c>
      <c r="M51" s="221">
        <v>3.4</v>
      </c>
      <c r="N51" s="221">
        <v>3.4</v>
      </c>
      <c r="O51" s="221">
        <v>9.4</v>
      </c>
      <c r="P51" s="221">
        <v>9.4</v>
      </c>
      <c r="Q51" s="221">
        <v>13.6</v>
      </c>
      <c r="R51" s="221">
        <v>13.6</v>
      </c>
      <c r="S51" s="221">
        <v>13.6</v>
      </c>
      <c r="T51" s="221">
        <v>13.6</v>
      </c>
      <c r="U51" s="221">
        <v>13.6</v>
      </c>
      <c r="V51" s="221">
        <v>13.6</v>
      </c>
      <c r="W51" s="221">
        <v>13.6</v>
      </c>
      <c r="X51" s="221">
        <v>13.6</v>
      </c>
      <c r="Y51" s="221">
        <v>13.6</v>
      </c>
      <c r="Z51" s="221">
        <v>4.8</v>
      </c>
      <c r="AA51" s="221">
        <v>4.8</v>
      </c>
      <c r="AB51" s="221">
        <v>10</v>
      </c>
      <c r="AC51" s="221">
        <v>9.8000000000000007</v>
      </c>
      <c r="AD51" s="221">
        <v>9.8000000000000007</v>
      </c>
      <c r="AE51" s="221">
        <v>9.8000000000000007</v>
      </c>
      <c r="AF51" s="221">
        <v>9.8000000000000007</v>
      </c>
      <c r="AG51" s="235">
        <v>14.1</v>
      </c>
      <c r="AH51" s="226">
        <f t="shared" si="2"/>
        <v>13.6</v>
      </c>
      <c r="AI51" s="227">
        <f t="shared" si="3"/>
        <v>2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5.6</v>
      </c>
      <c r="J52" s="245">
        <v>14</v>
      </c>
      <c r="K52" s="245">
        <v>14</v>
      </c>
      <c r="L52" s="245">
        <v>14</v>
      </c>
      <c r="M52" s="221">
        <v>14</v>
      </c>
      <c r="N52" s="221">
        <v>14</v>
      </c>
      <c r="O52" s="221">
        <v>14</v>
      </c>
      <c r="P52" s="221">
        <v>14</v>
      </c>
      <c r="Q52" s="221">
        <v>14</v>
      </c>
      <c r="R52" s="221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</v>
      </c>
      <c r="AI52" s="227">
        <f t="shared" si="3"/>
        <v>5.6</v>
      </c>
      <c r="AK52" s="228"/>
    </row>
    <row r="53" spans="1:41" x14ac:dyDescent="0.25">
      <c r="A53" s="234" t="s">
        <v>61</v>
      </c>
      <c r="B53" s="245">
        <v>9.5</v>
      </c>
      <c r="C53" s="245">
        <v>9.5</v>
      </c>
      <c r="D53" s="245">
        <v>9.5</v>
      </c>
      <c r="E53" s="245">
        <v>9.5</v>
      </c>
      <c r="F53" s="245">
        <v>9.5</v>
      </c>
      <c r="G53" s="245">
        <v>9.5</v>
      </c>
      <c r="H53" s="245">
        <v>9.5</v>
      </c>
      <c r="I53" s="245">
        <v>9.5</v>
      </c>
      <c r="J53" s="245">
        <v>9.5</v>
      </c>
      <c r="K53" s="245">
        <v>9.5</v>
      </c>
      <c r="L53" s="245">
        <v>9.5</v>
      </c>
      <c r="M53" s="221">
        <v>9.5</v>
      </c>
      <c r="N53" s="221">
        <v>9.5</v>
      </c>
      <c r="O53" s="221">
        <v>9.5</v>
      </c>
      <c r="P53" s="221">
        <v>9.5</v>
      </c>
      <c r="Q53" s="221">
        <v>6.6</v>
      </c>
      <c r="R53" s="221">
        <v>6.6</v>
      </c>
      <c r="S53" s="221">
        <v>6.6</v>
      </c>
      <c r="T53" s="221">
        <v>6.6</v>
      </c>
      <c r="U53" s="221">
        <v>6.6</v>
      </c>
      <c r="V53" s="221">
        <v>6.6</v>
      </c>
      <c r="W53" s="221">
        <v>6.6</v>
      </c>
      <c r="X53" s="221">
        <v>6.6</v>
      </c>
      <c r="Y53" s="221">
        <v>6.6</v>
      </c>
      <c r="Z53" s="221">
        <v>6.3</v>
      </c>
      <c r="AA53" s="221">
        <v>6.3</v>
      </c>
      <c r="AB53" s="221">
        <v>6.3</v>
      </c>
      <c r="AC53" s="221">
        <v>6.3</v>
      </c>
      <c r="AD53" s="221">
        <v>6.3</v>
      </c>
      <c r="AE53" s="221">
        <v>6.3</v>
      </c>
      <c r="AF53" s="221">
        <v>6.3</v>
      </c>
      <c r="AG53" s="235">
        <v>10.050000000000001</v>
      </c>
      <c r="AH53" s="226">
        <f t="shared" si="2"/>
        <v>9.5</v>
      </c>
      <c r="AI53" s="227">
        <f t="shared" si="3"/>
        <v>6.3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AG221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v>397.94</v>
      </c>
      <c r="C56" s="241">
        <f t="shared" ref="C56:AG56" si="6">SUM(C43:C55)</f>
        <v>400.44</v>
      </c>
      <c r="D56" s="241">
        <f t="shared" si="6"/>
        <v>400.44</v>
      </c>
      <c r="E56" s="241">
        <f t="shared" si="6"/>
        <v>395.74</v>
      </c>
      <c r="F56" s="241">
        <f t="shared" si="6"/>
        <v>394.74</v>
      </c>
      <c r="G56" s="241">
        <f t="shared" si="6"/>
        <v>394.74</v>
      </c>
      <c r="H56" s="241">
        <f t="shared" si="6"/>
        <v>394.74</v>
      </c>
      <c r="I56" s="241">
        <f t="shared" si="6"/>
        <v>384.74</v>
      </c>
      <c r="J56" s="241">
        <f t="shared" si="6"/>
        <v>394.14</v>
      </c>
      <c r="K56" s="241">
        <f t="shared" si="6"/>
        <v>396.24</v>
      </c>
      <c r="L56" s="241">
        <f t="shared" si="6"/>
        <v>396.24</v>
      </c>
      <c r="M56" s="241">
        <f t="shared" si="6"/>
        <v>406.43999999999994</v>
      </c>
      <c r="N56" s="241">
        <f t="shared" si="6"/>
        <v>406.43999999999994</v>
      </c>
      <c r="O56" s="241">
        <f t="shared" si="6"/>
        <v>424.94</v>
      </c>
      <c r="P56" s="241">
        <f t="shared" si="6"/>
        <v>389.03999999999996</v>
      </c>
      <c r="Q56" s="241">
        <f t="shared" si="6"/>
        <v>327.34000000000003</v>
      </c>
      <c r="R56" s="241">
        <f t="shared" si="6"/>
        <v>361.34000000000003</v>
      </c>
      <c r="S56" s="241">
        <f t="shared" si="6"/>
        <v>380.84000000000003</v>
      </c>
      <c r="T56" s="241">
        <f t="shared" si="6"/>
        <v>361.34000000000003</v>
      </c>
      <c r="U56" s="241">
        <f t="shared" si="6"/>
        <v>349.34000000000003</v>
      </c>
      <c r="V56" s="241">
        <f t="shared" si="6"/>
        <v>349.34000000000003</v>
      </c>
      <c r="W56" s="241">
        <f t="shared" si="6"/>
        <v>341.34000000000003</v>
      </c>
      <c r="X56" s="241">
        <f t="shared" si="6"/>
        <v>341.34000000000003</v>
      </c>
      <c r="Y56" s="241">
        <f t="shared" si="6"/>
        <v>413.34000000000003</v>
      </c>
      <c r="Z56" s="241">
        <f t="shared" si="6"/>
        <v>399.54</v>
      </c>
      <c r="AA56" s="241">
        <f t="shared" si="6"/>
        <v>399.54</v>
      </c>
      <c r="AB56" s="241">
        <f t="shared" si="6"/>
        <v>416.04</v>
      </c>
      <c r="AC56" s="241">
        <f t="shared" si="6"/>
        <v>414.94000000000005</v>
      </c>
      <c r="AD56" s="241">
        <f t="shared" si="6"/>
        <v>414.94000000000005</v>
      </c>
      <c r="AE56" s="241">
        <f t="shared" si="6"/>
        <v>416.04</v>
      </c>
      <c r="AF56" s="241">
        <f t="shared" si="6"/>
        <v>416.04</v>
      </c>
      <c r="AG56" s="242">
        <f t="shared" si="6"/>
        <v>489.91</v>
      </c>
      <c r="AH56" s="226">
        <f t="shared" si="2"/>
        <v>424.94</v>
      </c>
      <c r="AI56" s="227">
        <f t="shared" si="3"/>
        <v>327.34000000000003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11.65</v>
      </c>
      <c r="C61" s="221">
        <v>30.1</v>
      </c>
      <c r="D61" s="221">
        <v>0</v>
      </c>
      <c r="E61" s="221">
        <v>0</v>
      </c>
      <c r="F61" s="221">
        <v>22</v>
      </c>
      <c r="G61" s="221">
        <v>18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44.5</v>
      </c>
      <c r="R61" s="221">
        <v>67.599999999999994</v>
      </c>
      <c r="S61" s="221">
        <v>25</v>
      </c>
      <c r="T61" s="221">
        <v>70</v>
      </c>
      <c r="U61" s="221">
        <v>70</v>
      </c>
      <c r="V61" s="221">
        <v>70</v>
      </c>
      <c r="W61" s="221">
        <v>70</v>
      </c>
      <c r="X61" s="221">
        <v>70</v>
      </c>
      <c r="Y61" s="221">
        <v>65</v>
      </c>
      <c r="Z61" s="221">
        <v>74</v>
      </c>
      <c r="AA61" s="221">
        <v>48</v>
      </c>
      <c r="AB61" s="221">
        <v>49.9</v>
      </c>
      <c r="AC61" s="221">
        <v>54.9</v>
      </c>
      <c r="AD61" s="221">
        <v>56.9</v>
      </c>
      <c r="AE61" s="221">
        <v>28.9</v>
      </c>
      <c r="AF61" s="221">
        <v>16.3</v>
      </c>
      <c r="AG61" s="230"/>
      <c r="AH61" s="226">
        <f t="shared" si="2"/>
        <v>74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-360</v>
      </c>
      <c r="C63" s="245">
        <v>-365.2</v>
      </c>
      <c r="D63" s="245">
        <v>-375</v>
      </c>
      <c r="E63" s="245">
        <v>-390</v>
      </c>
      <c r="F63" s="245">
        <v>-377</v>
      </c>
      <c r="G63" s="245">
        <v>-391</v>
      </c>
      <c r="H63" s="245">
        <v>-404</v>
      </c>
      <c r="I63" s="245">
        <v>-413</v>
      </c>
      <c r="J63" s="245">
        <v>-383</v>
      </c>
      <c r="K63" s="245">
        <v>-371.5</v>
      </c>
      <c r="L63" s="245">
        <v>-390</v>
      </c>
      <c r="M63" s="245">
        <v>-400</v>
      </c>
      <c r="N63" s="245">
        <v>-412</v>
      </c>
      <c r="O63" s="245">
        <v>-420</v>
      </c>
      <c r="P63" s="245">
        <v>-420</v>
      </c>
      <c r="Q63" s="245">
        <v>-415</v>
      </c>
      <c r="R63" s="245">
        <v>-446</v>
      </c>
      <c r="S63" s="245">
        <v>-472</v>
      </c>
      <c r="T63" s="245">
        <v>-420</v>
      </c>
      <c r="U63" s="245">
        <v>-427</v>
      </c>
      <c r="V63" s="245">
        <v>-405</v>
      </c>
      <c r="W63" s="245">
        <v>-390</v>
      </c>
      <c r="X63" s="245">
        <v>-408</v>
      </c>
      <c r="Y63" s="245">
        <v>-324</v>
      </c>
      <c r="Z63" s="245">
        <v>-245</v>
      </c>
      <c r="AA63" s="245">
        <v>-260</v>
      </c>
      <c r="AB63" s="245">
        <v>-216</v>
      </c>
      <c r="AC63" s="245">
        <v>-212</v>
      </c>
      <c r="AD63" s="245">
        <v>-225.4</v>
      </c>
      <c r="AE63" s="245">
        <v>-362.6</v>
      </c>
      <c r="AF63" s="245">
        <v>-305</v>
      </c>
      <c r="AG63" s="255"/>
      <c r="AH63" s="226">
        <f t="shared" si="2"/>
        <v>-212</v>
      </c>
      <c r="AI63" s="227">
        <f t="shared" si="3"/>
        <v>-472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6</v>
      </c>
      <c r="C66" s="257">
        <v>6</v>
      </c>
      <c r="D66" s="257">
        <v>6</v>
      </c>
      <c r="E66" s="257">
        <v>4</v>
      </c>
      <c r="F66" s="257">
        <v>4</v>
      </c>
      <c r="G66" s="257">
        <v>4</v>
      </c>
      <c r="H66" s="257">
        <v>4</v>
      </c>
      <c r="I66" s="257">
        <v>4</v>
      </c>
      <c r="J66" s="257">
        <v>4</v>
      </c>
      <c r="K66" s="257">
        <v>4</v>
      </c>
      <c r="L66" s="257">
        <v>4</v>
      </c>
      <c r="M66" s="257">
        <v>4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>
        <v>8</v>
      </c>
      <c r="AA66" s="257">
        <v>6</v>
      </c>
      <c r="AB66" s="257">
        <v>6</v>
      </c>
      <c r="AC66" s="257">
        <v>6</v>
      </c>
      <c r="AD66" s="257">
        <v>6</v>
      </c>
      <c r="AE66" s="257">
        <v>6</v>
      </c>
      <c r="AF66" s="257">
        <v>6</v>
      </c>
      <c r="AG66" s="255"/>
      <c r="AH66" s="226">
        <f t="shared" si="2"/>
        <v>8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7">
        <v>0</v>
      </c>
      <c r="F68" s="257">
        <v>0</v>
      </c>
      <c r="G68" s="257">
        <v>0</v>
      </c>
      <c r="H68" s="257">
        <v>0</v>
      </c>
      <c r="I68" s="257">
        <v>0</v>
      </c>
      <c r="J68" s="257">
        <v>0</v>
      </c>
      <c r="K68" s="257">
        <v>0</v>
      </c>
      <c r="L68" s="257">
        <v>0</v>
      </c>
      <c r="M68" s="257">
        <v>0</v>
      </c>
      <c r="N68" s="257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7">
        <v>0</v>
      </c>
      <c r="F69" s="257">
        <v>0</v>
      </c>
      <c r="G69" s="257">
        <v>0</v>
      </c>
      <c r="H69" s="257">
        <v>0</v>
      </c>
      <c r="I69" s="257">
        <v>0</v>
      </c>
      <c r="J69" s="257">
        <v>0</v>
      </c>
      <c r="K69" s="257">
        <v>0</v>
      </c>
      <c r="L69" s="257">
        <v>0</v>
      </c>
      <c r="M69" s="257">
        <v>0</v>
      </c>
      <c r="N69" s="257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7">
        <v>0</v>
      </c>
      <c r="F70" s="257">
        <v>0</v>
      </c>
      <c r="G70" s="257">
        <v>0</v>
      </c>
      <c r="H70" s="257">
        <v>0</v>
      </c>
      <c r="I70" s="257">
        <v>0</v>
      </c>
      <c r="J70" s="257">
        <v>0</v>
      </c>
      <c r="K70" s="257">
        <v>0</v>
      </c>
      <c r="L70" s="257">
        <v>0</v>
      </c>
      <c r="M70" s="257">
        <v>0</v>
      </c>
      <c r="N70" s="257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7">
        <v>0</v>
      </c>
      <c r="F71" s="257">
        <v>0</v>
      </c>
      <c r="G71" s="257">
        <v>0</v>
      </c>
      <c r="H71" s="257">
        <v>0</v>
      </c>
      <c r="I71" s="257">
        <v>0</v>
      </c>
      <c r="J71" s="257">
        <v>0</v>
      </c>
      <c r="K71" s="257">
        <v>0</v>
      </c>
      <c r="L71" s="257">
        <v>0</v>
      </c>
      <c r="M71" s="257">
        <v>0</v>
      </c>
      <c r="N71" s="257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v>39.5</v>
      </c>
      <c r="C72" s="241">
        <f t="shared" ref="C72:L72" si="8">SUMIF(C61:C71,"&gt;0")</f>
        <v>36.1</v>
      </c>
      <c r="D72" s="241">
        <f t="shared" si="8"/>
        <v>6</v>
      </c>
      <c r="E72" s="241">
        <f t="shared" si="8"/>
        <v>4</v>
      </c>
      <c r="F72" s="241">
        <f t="shared" si="8"/>
        <v>26</v>
      </c>
      <c r="G72" s="241">
        <f t="shared" si="8"/>
        <v>22</v>
      </c>
      <c r="H72" s="241">
        <f t="shared" si="8"/>
        <v>4</v>
      </c>
      <c r="I72" s="241">
        <f t="shared" si="8"/>
        <v>4</v>
      </c>
      <c r="J72" s="241">
        <f t="shared" si="8"/>
        <v>4</v>
      </c>
      <c r="K72" s="241">
        <f t="shared" si="8"/>
        <v>4</v>
      </c>
      <c r="L72" s="241">
        <f t="shared" si="8"/>
        <v>4</v>
      </c>
      <c r="M72" s="241">
        <f>SUMIF(M61:M71,"&gt;0")</f>
        <v>4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44.5</v>
      </c>
      <c r="R72" s="241">
        <f t="shared" si="9"/>
        <v>67.599999999999994</v>
      </c>
      <c r="S72" s="241">
        <f t="shared" si="9"/>
        <v>25</v>
      </c>
      <c r="T72" s="241">
        <f t="shared" si="9"/>
        <v>75</v>
      </c>
      <c r="U72" s="241">
        <f t="shared" si="9"/>
        <v>75</v>
      </c>
      <c r="V72" s="241">
        <f t="shared" si="9"/>
        <v>75</v>
      </c>
      <c r="W72" s="241">
        <f t="shared" si="9"/>
        <v>75</v>
      </c>
      <c r="X72" s="241">
        <f t="shared" si="9"/>
        <v>75</v>
      </c>
      <c r="Y72" s="241">
        <f t="shared" si="9"/>
        <v>70</v>
      </c>
      <c r="Z72" s="241">
        <f t="shared" si="9"/>
        <v>82</v>
      </c>
      <c r="AA72" s="241">
        <f t="shared" si="9"/>
        <v>54</v>
      </c>
      <c r="AB72" s="241">
        <f t="shared" si="9"/>
        <v>55.9</v>
      </c>
      <c r="AC72" s="241">
        <f t="shared" si="9"/>
        <v>60.9</v>
      </c>
      <c r="AD72" s="241">
        <f t="shared" si="9"/>
        <v>62.9</v>
      </c>
      <c r="AE72" s="241">
        <f t="shared" si="9"/>
        <v>34.9</v>
      </c>
      <c r="AF72" s="241">
        <f t="shared" si="9"/>
        <v>22.3</v>
      </c>
      <c r="AG72" s="261">
        <f>SUM(AG61:AG71)</f>
        <v>0</v>
      </c>
      <c r="AH72" s="226">
        <f t="shared" si="2"/>
        <v>82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v>1762.24</v>
      </c>
      <c r="C77" s="263">
        <f t="shared" ref="C77:AF77" si="10">C38+C42+C60+C56+C72+C76</f>
        <v>1773.6399999999999</v>
      </c>
      <c r="D77" s="263">
        <f t="shared" si="10"/>
        <v>1743.54</v>
      </c>
      <c r="E77" s="263">
        <f t="shared" si="10"/>
        <v>1711.64</v>
      </c>
      <c r="F77" s="263">
        <f t="shared" si="10"/>
        <v>1706.44</v>
      </c>
      <c r="G77" s="263">
        <f t="shared" si="10"/>
        <v>1702.44</v>
      </c>
      <c r="H77" s="263">
        <f t="shared" si="10"/>
        <v>1682.44</v>
      </c>
      <c r="I77" s="263">
        <f t="shared" si="10"/>
        <v>1666.44</v>
      </c>
      <c r="J77" s="263">
        <f t="shared" si="10"/>
        <v>1656.7399999999998</v>
      </c>
      <c r="K77" s="263">
        <f t="shared" si="10"/>
        <v>1648.84</v>
      </c>
      <c r="L77" s="263">
        <f t="shared" si="10"/>
        <v>1660.84</v>
      </c>
      <c r="M77" s="263">
        <f t="shared" si="10"/>
        <v>1697.04</v>
      </c>
      <c r="N77" s="263">
        <f t="shared" si="10"/>
        <v>1693.04</v>
      </c>
      <c r="O77" s="263">
        <f t="shared" si="10"/>
        <v>1702.44</v>
      </c>
      <c r="P77" s="263">
        <f t="shared" si="10"/>
        <v>1610.54</v>
      </c>
      <c r="Q77" s="263">
        <f t="shared" si="10"/>
        <v>1593.3400000000001</v>
      </c>
      <c r="R77" s="263">
        <f t="shared" si="10"/>
        <v>1710.44</v>
      </c>
      <c r="S77" s="263">
        <f t="shared" si="10"/>
        <v>1691.3400000000001</v>
      </c>
      <c r="T77" s="263">
        <f t="shared" si="10"/>
        <v>1705.8400000000001</v>
      </c>
      <c r="U77" s="263">
        <f t="shared" si="10"/>
        <v>1653.8400000000001</v>
      </c>
      <c r="V77" s="263">
        <f t="shared" si="10"/>
        <v>1653.8400000000001</v>
      </c>
      <c r="W77" s="263">
        <f t="shared" si="10"/>
        <v>1675.8400000000001</v>
      </c>
      <c r="X77" s="263">
        <f t="shared" si="10"/>
        <v>1701.8400000000001</v>
      </c>
      <c r="Y77" s="263">
        <f t="shared" si="10"/>
        <v>1768.8400000000001</v>
      </c>
      <c r="Z77" s="263">
        <f t="shared" si="10"/>
        <v>1830.1399999999999</v>
      </c>
      <c r="AA77" s="263">
        <f t="shared" si="10"/>
        <v>1806.1399999999999</v>
      </c>
      <c r="AB77" s="263">
        <f t="shared" si="10"/>
        <v>1747.54</v>
      </c>
      <c r="AC77" s="263">
        <f t="shared" si="10"/>
        <v>1747.44</v>
      </c>
      <c r="AD77" s="263">
        <f t="shared" si="10"/>
        <v>1745.8400000000001</v>
      </c>
      <c r="AE77" s="263">
        <f t="shared" si="10"/>
        <v>1794.94</v>
      </c>
      <c r="AF77" s="263">
        <f t="shared" si="10"/>
        <v>1688.34</v>
      </c>
      <c r="AG77" s="242">
        <f>AG38+AG42+AG60+AG56+AG72+AG76</f>
        <v>1855.1900000000003</v>
      </c>
      <c r="AH77" s="226">
        <f t="shared" si="2"/>
        <v>1830.1399999999999</v>
      </c>
      <c r="AI77" s="227">
        <f t="shared" si="3"/>
        <v>1593.3400000000001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v>1762.24</v>
      </c>
      <c r="C79" s="263">
        <f t="shared" ref="C79:AF79" si="11">C77+C78</f>
        <v>1773.6399999999999</v>
      </c>
      <c r="D79" s="263">
        <f t="shared" si="11"/>
        <v>1743.54</v>
      </c>
      <c r="E79" s="263">
        <f t="shared" si="11"/>
        <v>1711.64</v>
      </c>
      <c r="F79" s="263">
        <f t="shared" si="11"/>
        <v>1706.44</v>
      </c>
      <c r="G79" s="263">
        <f t="shared" si="11"/>
        <v>1702.44</v>
      </c>
      <c r="H79" s="263">
        <f t="shared" si="11"/>
        <v>1682.44</v>
      </c>
      <c r="I79" s="263">
        <f t="shared" si="11"/>
        <v>1666.44</v>
      </c>
      <c r="J79" s="263">
        <f t="shared" si="11"/>
        <v>1656.7399999999998</v>
      </c>
      <c r="K79" s="263">
        <f t="shared" si="11"/>
        <v>1648.84</v>
      </c>
      <c r="L79" s="263">
        <f t="shared" si="11"/>
        <v>1660.84</v>
      </c>
      <c r="M79" s="263">
        <f t="shared" si="11"/>
        <v>1697.04</v>
      </c>
      <c r="N79" s="263">
        <f t="shared" si="11"/>
        <v>1693.04</v>
      </c>
      <c r="O79" s="263">
        <f t="shared" si="11"/>
        <v>1702.44</v>
      </c>
      <c r="P79" s="263">
        <f t="shared" si="11"/>
        <v>1610.54</v>
      </c>
      <c r="Q79" s="263">
        <f t="shared" si="11"/>
        <v>1593.3400000000001</v>
      </c>
      <c r="R79" s="263">
        <f t="shared" si="11"/>
        <v>1710.44</v>
      </c>
      <c r="S79" s="263">
        <f t="shared" si="11"/>
        <v>1691.3400000000001</v>
      </c>
      <c r="T79" s="263">
        <f t="shared" si="11"/>
        <v>1705.8400000000001</v>
      </c>
      <c r="U79" s="263">
        <f t="shared" si="11"/>
        <v>1653.8400000000001</v>
      </c>
      <c r="V79" s="263">
        <f t="shared" si="11"/>
        <v>1653.8400000000001</v>
      </c>
      <c r="W79" s="263">
        <f t="shared" si="11"/>
        <v>1675.8400000000001</v>
      </c>
      <c r="X79" s="263">
        <f t="shared" si="11"/>
        <v>1701.8400000000001</v>
      </c>
      <c r="Y79" s="263">
        <f t="shared" si="11"/>
        <v>1768.8400000000001</v>
      </c>
      <c r="Z79" s="263">
        <f t="shared" si="11"/>
        <v>1830.1399999999999</v>
      </c>
      <c r="AA79" s="263">
        <f t="shared" si="11"/>
        <v>1806.1399999999999</v>
      </c>
      <c r="AB79" s="263">
        <f t="shared" si="11"/>
        <v>1747.54</v>
      </c>
      <c r="AC79" s="263">
        <f t="shared" si="11"/>
        <v>1747.44</v>
      </c>
      <c r="AD79" s="263">
        <f t="shared" si="11"/>
        <v>1745.8400000000001</v>
      </c>
      <c r="AE79" s="263">
        <f t="shared" si="11"/>
        <v>1794.94</v>
      </c>
      <c r="AF79" s="263">
        <f t="shared" si="11"/>
        <v>1688.34</v>
      </c>
      <c r="AG79" s="261">
        <f>AG76+AG72+AG60+AG56+AG38+AG78</f>
        <v>1317.0900000000001</v>
      </c>
      <c r="AH79" s="226">
        <f t="shared" si="2"/>
        <v>1830.1399999999999</v>
      </c>
      <c r="AI79" s="227">
        <f t="shared" si="3"/>
        <v>1593.3400000000001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v>1400.24</v>
      </c>
      <c r="C80" s="263">
        <f t="shared" ref="C80:AF80" si="12">C79-C87</f>
        <v>1408.4399999999998</v>
      </c>
      <c r="D80" s="263">
        <f t="shared" si="12"/>
        <v>1368.54</v>
      </c>
      <c r="E80" s="263">
        <f t="shared" si="12"/>
        <v>1321.64</v>
      </c>
      <c r="F80" s="263">
        <f t="shared" si="12"/>
        <v>1329.44</v>
      </c>
      <c r="G80" s="263">
        <f t="shared" si="12"/>
        <v>1311.44</v>
      </c>
      <c r="H80" s="263">
        <f t="shared" si="12"/>
        <v>1278.44</v>
      </c>
      <c r="I80" s="263">
        <f t="shared" si="12"/>
        <v>1253.44</v>
      </c>
      <c r="J80" s="263">
        <f t="shared" si="12"/>
        <v>1273.7399999999998</v>
      </c>
      <c r="K80" s="263">
        <f t="shared" si="12"/>
        <v>1277.3399999999999</v>
      </c>
      <c r="L80" s="263">
        <f t="shared" si="12"/>
        <v>1270.8399999999999</v>
      </c>
      <c r="M80" s="263">
        <f t="shared" si="12"/>
        <v>1297.04</v>
      </c>
      <c r="N80" s="263">
        <f t="shared" si="12"/>
        <v>1281.04</v>
      </c>
      <c r="O80" s="263">
        <f t="shared" si="12"/>
        <v>1282.44</v>
      </c>
      <c r="P80" s="263">
        <f t="shared" si="12"/>
        <v>1190.54</v>
      </c>
      <c r="Q80" s="263">
        <f t="shared" si="12"/>
        <v>1178.3400000000001</v>
      </c>
      <c r="R80" s="263">
        <f t="shared" si="12"/>
        <v>1264.44</v>
      </c>
      <c r="S80" s="263">
        <f t="shared" si="12"/>
        <v>1219.3400000000001</v>
      </c>
      <c r="T80" s="263">
        <f t="shared" si="12"/>
        <v>1285.8400000000001</v>
      </c>
      <c r="U80" s="263">
        <f t="shared" si="12"/>
        <v>1226.8400000000001</v>
      </c>
      <c r="V80" s="263">
        <f t="shared" si="12"/>
        <v>1248.8400000000001</v>
      </c>
      <c r="W80" s="263">
        <f t="shared" si="12"/>
        <v>1285.8400000000001</v>
      </c>
      <c r="X80" s="263">
        <f t="shared" si="12"/>
        <v>1293.8400000000001</v>
      </c>
      <c r="Y80" s="263">
        <f t="shared" si="12"/>
        <v>1444.8400000000001</v>
      </c>
      <c r="Z80" s="263">
        <f t="shared" si="12"/>
        <v>1585.1399999999999</v>
      </c>
      <c r="AA80" s="263">
        <f t="shared" si="12"/>
        <v>1546.1399999999999</v>
      </c>
      <c r="AB80" s="263">
        <f t="shared" si="12"/>
        <v>1531.54</v>
      </c>
      <c r="AC80" s="263">
        <f t="shared" si="12"/>
        <v>1535.44</v>
      </c>
      <c r="AD80" s="263">
        <f t="shared" si="12"/>
        <v>1520.44</v>
      </c>
      <c r="AE80" s="263">
        <f t="shared" si="12"/>
        <v>1432.3400000000001</v>
      </c>
      <c r="AF80" s="263">
        <f t="shared" si="12"/>
        <v>1383.34</v>
      </c>
      <c r="AG80" s="261"/>
      <c r="AH80" s="226">
        <f t="shared" ref="AH80:AH97" si="13">MAX(B80:AF80)</f>
        <v>1585.1399999999999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v>362</v>
      </c>
      <c r="C84" s="256">
        <f t="shared" ref="C84:AF84" si="18">IF(C63&lt;0,C63*-1,0)</f>
        <v>365.2</v>
      </c>
      <c r="D84" s="256">
        <f t="shared" si="18"/>
        <v>375</v>
      </c>
      <c r="E84" s="256">
        <f t="shared" si="18"/>
        <v>390</v>
      </c>
      <c r="F84" s="256">
        <f t="shared" si="18"/>
        <v>377</v>
      </c>
      <c r="G84" s="256">
        <f t="shared" si="18"/>
        <v>391</v>
      </c>
      <c r="H84" s="256">
        <f t="shared" si="18"/>
        <v>404</v>
      </c>
      <c r="I84" s="256">
        <f t="shared" si="18"/>
        <v>413</v>
      </c>
      <c r="J84" s="256">
        <f t="shared" si="18"/>
        <v>383</v>
      </c>
      <c r="K84" s="256">
        <f t="shared" si="18"/>
        <v>371.5</v>
      </c>
      <c r="L84" s="256">
        <f t="shared" si="18"/>
        <v>390</v>
      </c>
      <c r="M84" s="256">
        <f t="shared" si="18"/>
        <v>400</v>
      </c>
      <c r="N84" s="256">
        <f t="shared" si="18"/>
        <v>412</v>
      </c>
      <c r="O84" s="256">
        <f t="shared" si="18"/>
        <v>420</v>
      </c>
      <c r="P84" s="256">
        <f t="shared" si="18"/>
        <v>420</v>
      </c>
      <c r="Q84" s="256">
        <f t="shared" si="18"/>
        <v>415</v>
      </c>
      <c r="R84" s="256">
        <f t="shared" si="18"/>
        <v>446</v>
      </c>
      <c r="S84" s="256">
        <f t="shared" si="18"/>
        <v>472</v>
      </c>
      <c r="T84" s="256">
        <f t="shared" si="18"/>
        <v>420</v>
      </c>
      <c r="U84" s="256">
        <f t="shared" si="18"/>
        <v>427</v>
      </c>
      <c r="V84" s="256">
        <f t="shared" si="18"/>
        <v>405</v>
      </c>
      <c r="W84" s="256">
        <f t="shared" si="18"/>
        <v>390</v>
      </c>
      <c r="X84" s="256">
        <f t="shared" si="18"/>
        <v>408</v>
      </c>
      <c r="Y84" s="256">
        <f t="shared" si="18"/>
        <v>324</v>
      </c>
      <c r="Z84" s="256">
        <f t="shared" si="18"/>
        <v>245</v>
      </c>
      <c r="AA84" s="256">
        <f t="shared" si="18"/>
        <v>260</v>
      </c>
      <c r="AB84" s="256">
        <f t="shared" si="18"/>
        <v>216</v>
      </c>
      <c r="AC84" s="256">
        <f t="shared" si="18"/>
        <v>212</v>
      </c>
      <c r="AD84" s="256">
        <f t="shared" si="18"/>
        <v>225.4</v>
      </c>
      <c r="AE84" s="256">
        <f t="shared" si="18"/>
        <v>362.6</v>
      </c>
      <c r="AF84" s="256">
        <f t="shared" si="18"/>
        <v>305</v>
      </c>
      <c r="AG84" s="266"/>
      <c r="AH84" s="226">
        <f t="shared" si="13"/>
        <v>472</v>
      </c>
      <c r="AI84" s="227">
        <f t="shared" si="15"/>
        <v>212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v>362</v>
      </c>
      <c r="C87" s="241">
        <f t="shared" ref="C87:AF87" si="20">SUM(C81:C86)</f>
        <v>365.2</v>
      </c>
      <c r="D87" s="241">
        <f t="shared" si="20"/>
        <v>375</v>
      </c>
      <c r="E87" s="241">
        <f t="shared" si="20"/>
        <v>390</v>
      </c>
      <c r="F87" s="241">
        <f t="shared" si="20"/>
        <v>377</v>
      </c>
      <c r="G87" s="241">
        <f t="shared" si="20"/>
        <v>391</v>
      </c>
      <c r="H87" s="241">
        <f t="shared" si="20"/>
        <v>404</v>
      </c>
      <c r="I87" s="241">
        <f t="shared" si="20"/>
        <v>413</v>
      </c>
      <c r="J87" s="241">
        <f t="shared" si="20"/>
        <v>383</v>
      </c>
      <c r="K87" s="241">
        <f t="shared" si="20"/>
        <v>371.5</v>
      </c>
      <c r="L87" s="241">
        <f t="shared" si="20"/>
        <v>390</v>
      </c>
      <c r="M87" s="241">
        <f t="shared" si="20"/>
        <v>400</v>
      </c>
      <c r="N87" s="241">
        <f t="shared" si="20"/>
        <v>412</v>
      </c>
      <c r="O87" s="241">
        <f t="shared" si="20"/>
        <v>420</v>
      </c>
      <c r="P87" s="241">
        <f t="shared" si="20"/>
        <v>420</v>
      </c>
      <c r="Q87" s="241">
        <f t="shared" si="20"/>
        <v>415</v>
      </c>
      <c r="R87" s="241">
        <f t="shared" si="20"/>
        <v>446</v>
      </c>
      <c r="S87" s="241">
        <f t="shared" si="20"/>
        <v>472</v>
      </c>
      <c r="T87" s="241">
        <f t="shared" si="20"/>
        <v>420</v>
      </c>
      <c r="U87" s="241">
        <f t="shared" si="20"/>
        <v>427</v>
      </c>
      <c r="V87" s="241">
        <f t="shared" si="20"/>
        <v>405</v>
      </c>
      <c r="W87" s="241">
        <f t="shared" si="20"/>
        <v>390</v>
      </c>
      <c r="X87" s="241">
        <f t="shared" si="20"/>
        <v>408</v>
      </c>
      <c r="Y87" s="241">
        <f t="shared" si="20"/>
        <v>324</v>
      </c>
      <c r="Z87" s="241">
        <f t="shared" si="20"/>
        <v>245</v>
      </c>
      <c r="AA87" s="241">
        <f t="shared" si="20"/>
        <v>260</v>
      </c>
      <c r="AB87" s="241">
        <f t="shared" si="20"/>
        <v>216</v>
      </c>
      <c r="AC87" s="241">
        <f t="shared" si="20"/>
        <v>212</v>
      </c>
      <c r="AD87" s="241">
        <f t="shared" si="20"/>
        <v>225.4</v>
      </c>
      <c r="AE87" s="241">
        <f t="shared" si="20"/>
        <v>362.6</v>
      </c>
      <c r="AF87" s="241">
        <f t="shared" si="20"/>
        <v>305</v>
      </c>
      <c r="AG87" s="261"/>
      <c r="AH87" s="226">
        <f t="shared" si="13"/>
        <v>472</v>
      </c>
      <c r="AI87" s="227">
        <f t="shared" si="15"/>
        <v>212</v>
      </c>
      <c r="AK87" s="228"/>
    </row>
    <row r="88" spans="1:88" s="175" customFormat="1" ht="15.75" thickBot="1" x14ac:dyDescent="0.3">
      <c r="A88" s="254" t="s">
        <v>93</v>
      </c>
      <c r="B88" s="241">
        <v>-322.5</v>
      </c>
      <c r="C88" s="241">
        <f t="shared" ref="C88:AF88" si="21">C72-C87</f>
        <v>-329.09999999999997</v>
      </c>
      <c r="D88" s="241">
        <f t="shared" si="21"/>
        <v>-369</v>
      </c>
      <c r="E88" s="241">
        <f t="shared" si="21"/>
        <v>-386</v>
      </c>
      <c r="F88" s="241">
        <f t="shared" si="21"/>
        <v>-351</v>
      </c>
      <c r="G88" s="241">
        <f t="shared" si="21"/>
        <v>-369</v>
      </c>
      <c r="H88" s="241">
        <f t="shared" si="21"/>
        <v>-400</v>
      </c>
      <c r="I88" s="241">
        <f t="shared" si="21"/>
        <v>-409</v>
      </c>
      <c r="J88" s="241">
        <f t="shared" si="21"/>
        <v>-379</v>
      </c>
      <c r="K88" s="241">
        <f t="shared" si="21"/>
        <v>-367.5</v>
      </c>
      <c r="L88" s="241">
        <f t="shared" si="21"/>
        <v>-386</v>
      </c>
      <c r="M88" s="241">
        <f t="shared" si="21"/>
        <v>-396</v>
      </c>
      <c r="N88" s="241">
        <f t="shared" si="21"/>
        <v>-412</v>
      </c>
      <c r="O88" s="241">
        <f t="shared" si="21"/>
        <v>-420</v>
      </c>
      <c r="P88" s="241">
        <f t="shared" si="21"/>
        <v>-420</v>
      </c>
      <c r="Q88" s="241">
        <f t="shared" si="21"/>
        <v>-370.5</v>
      </c>
      <c r="R88" s="241">
        <f t="shared" si="21"/>
        <v>-378.4</v>
      </c>
      <c r="S88" s="241">
        <f t="shared" si="21"/>
        <v>-447</v>
      </c>
      <c r="T88" s="241">
        <f t="shared" si="21"/>
        <v>-345</v>
      </c>
      <c r="U88" s="241">
        <f t="shared" si="21"/>
        <v>-352</v>
      </c>
      <c r="V88" s="241">
        <f t="shared" si="21"/>
        <v>-330</v>
      </c>
      <c r="W88" s="241">
        <f t="shared" si="21"/>
        <v>-315</v>
      </c>
      <c r="X88" s="241">
        <f t="shared" si="21"/>
        <v>-333</v>
      </c>
      <c r="Y88" s="241">
        <f t="shared" si="21"/>
        <v>-254</v>
      </c>
      <c r="Z88" s="241">
        <f t="shared" si="21"/>
        <v>-163</v>
      </c>
      <c r="AA88" s="241">
        <f t="shared" si="21"/>
        <v>-206</v>
      </c>
      <c r="AB88" s="241">
        <f t="shared" si="21"/>
        <v>-160.1</v>
      </c>
      <c r="AC88" s="241">
        <f t="shared" si="21"/>
        <v>-151.1</v>
      </c>
      <c r="AD88" s="241">
        <f t="shared" si="21"/>
        <v>-162.5</v>
      </c>
      <c r="AE88" s="241">
        <f t="shared" si="21"/>
        <v>-327.70000000000005</v>
      </c>
      <c r="AF88" s="241">
        <f t="shared" si="21"/>
        <v>-282.7</v>
      </c>
      <c r="AG88" s="261"/>
      <c r="AH88" s="226">
        <f t="shared" si="13"/>
        <v>-151.1</v>
      </c>
      <c r="AI88" s="227">
        <f t="shared" si="15"/>
        <v>-447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</v>
      </c>
      <c r="C89" s="269">
        <v>50.01</v>
      </c>
      <c r="D89" s="269">
        <v>50</v>
      </c>
      <c r="E89" s="269">
        <v>49.935000000000002</v>
      </c>
      <c r="F89" s="269">
        <v>49.935000000000002</v>
      </c>
      <c r="G89" s="269">
        <v>50</v>
      </c>
      <c r="H89" s="269">
        <v>50</v>
      </c>
      <c r="I89" s="269">
        <v>50.042000000000002</v>
      </c>
      <c r="J89" s="269">
        <v>50.048000000000002</v>
      </c>
      <c r="K89" s="269">
        <v>50.054000000000002</v>
      </c>
      <c r="L89" s="269">
        <v>49.978999999999999</v>
      </c>
      <c r="M89" s="269">
        <v>50.002000000000002</v>
      </c>
      <c r="N89" s="269">
        <v>50.029000000000003</v>
      </c>
      <c r="O89" s="269">
        <v>49.99</v>
      </c>
      <c r="P89" s="269">
        <v>49.942</v>
      </c>
      <c r="Q89" s="269">
        <v>49.945999999999998</v>
      </c>
      <c r="R89" s="269">
        <v>49.908999999999999</v>
      </c>
      <c r="S89" s="269">
        <v>49.912999999999997</v>
      </c>
      <c r="T89" s="269">
        <v>50</v>
      </c>
      <c r="U89" s="269">
        <v>50</v>
      </c>
      <c r="V89" s="269">
        <v>50</v>
      </c>
      <c r="W89" s="269">
        <v>50</v>
      </c>
      <c r="X89" s="269">
        <v>49.896000000000001</v>
      </c>
      <c r="Y89" s="269">
        <v>50.012</v>
      </c>
      <c r="Z89" s="269">
        <v>50.012</v>
      </c>
      <c r="AA89" s="269">
        <v>50.012</v>
      </c>
      <c r="AB89" s="269">
        <v>50.02</v>
      </c>
      <c r="AC89" s="269">
        <v>49.960999999999999</v>
      </c>
      <c r="AD89" s="269">
        <v>50.048999999999999</v>
      </c>
      <c r="AE89" s="269">
        <v>50.043999999999997</v>
      </c>
      <c r="AF89" s="269">
        <v>50.033000000000001</v>
      </c>
      <c r="AG89" s="270"/>
      <c r="AH89" s="226">
        <f t="shared" si="13"/>
        <v>50.054000000000002</v>
      </c>
      <c r="AI89" s="227">
        <f t="shared" si="15"/>
        <v>49.896000000000001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123.7</v>
      </c>
      <c r="C90" s="245">
        <v>123.7</v>
      </c>
      <c r="D90" s="245">
        <v>123.7</v>
      </c>
      <c r="E90" s="245">
        <v>125</v>
      </c>
      <c r="F90" s="245">
        <v>125</v>
      </c>
      <c r="G90" s="245">
        <v>125.8</v>
      </c>
      <c r="H90" s="245">
        <v>125.8</v>
      </c>
      <c r="I90" s="245">
        <v>125.8</v>
      </c>
      <c r="J90" s="245">
        <v>124.4</v>
      </c>
      <c r="K90" s="245">
        <v>124.4</v>
      </c>
      <c r="L90" s="245">
        <v>124.4</v>
      </c>
      <c r="M90" s="245">
        <v>124.2</v>
      </c>
      <c r="N90" s="245">
        <v>124.2</v>
      </c>
      <c r="O90" s="245">
        <v>125.1</v>
      </c>
      <c r="P90" s="245">
        <v>125.3</v>
      </c>
      <c r="Q90" s="245">
        <v>124.7</v>
      </c>
      <c r="R90" s="245">
        <v>123.7</v>
      </c>
      <c r="S90" s="245">
        <v>123.2</v>
      </c>
      <c r="T90" s="245">
        <v>125</v>
      </c>
      <c r="U90" s="245">
        <v>125</v>
      </c>
      <c r="V90" s="245">
        <v>125</v>
      </c>
      <c r="W90" s="245">
        <v>49.927999999999997</v>
      </c>
      <c r="X90" s="245">
        <v>125</v>
      </c>
      <c r="Y90" s="245">
        <v>125</v>
      </c>
      <c r="Z90" s="245">
        <v>125</v>
      </c>
      <c r="AA90" s="245">
        <v>125</v>
      </c>
      <c r="AB90" s="245">
        <v>124.7</v>
      </c>
      <c r="AC90" s="245">
        <v>124</v>
      </c>
      <c r="AD90" s="245">
        <v>124.2</v>
      </c>
      <c r="AE90" s="245">
        <v>124.7</v>
      </c>
      <c r="AF90" s="245">
        <v>123.4</v>
      </c>
      <c r="AG90" s="272"/>
      <c r="AH90" s="226">
        <f t="shared" si="13"/>
        <v>125.8</v>
      </c>
      <c r="AI90" s="227">
        <f t="shared" si="15"/>
        <v>49.927999999999997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128.5</v>
      </c>
      <c r="C91" s="245">
        <v>128.80000000000001</v>
      </c>
      <c r="D91" s="245">
        <v>128.80000000000001</v>
      </c>
      <c r="E91" s="245">
        <v>130</v>
      </c>
      <c r="F91" s="245">
        <v>130</v>
      </c>
      <c r="G91" s="245">
        <v>130</v>
      </c>
      <c r="H91" s="245">
        <v>130</v>
      </c>
      <c r="I91" s="245">
        <v>130</v>
      </c>
      <c r="J91" s="245">
        <v>128.5</v>
      </c>
      <c r="K91" s="245">
        <v>128.5</v>
      </c>
      <c r="L91" s="245">
        <v>128.5</v>
      </c>
      <c r="M91" s="245">
        <v>127.4</v>
      </c>
      <c r="N91" s="245">
        <v>127.3</v>
      </c>
      <c r="O91" s="245">
        <v>128</v>
      </c>
      <c r="P91" s="245">
        <v>128.80000000000001</v>
      </c>
      <c r="Q91" s="245">
        <v>128.30000000000001</v>
      </c>
      <c r="R91" s="245">
        <v>127.9</v>
      </c>
      <c r="S91" s="245">
        <v>127.7</v>
      </c>
      <c r="T91" s="245">
        <v>128.4</v>
      </c>
      <c r="U91" s="245">
        <v>128.4</v>
      </c>
      <c r="V91" s="245">
        <v>128.4</v>
      </c>
      <c r="W91" s="245">
        <v>128.4</v>
      </c>
      <c r="X91" s="245">
        <v>129</v>
      </c>
      <c r="Y91" s="245">
        <v>127</v>
      </c>
      <c r="Z91" s="245">
        <v>127</v>
      </c>
      <c r="AA91" s="245">
        <v>127</v>
      </c>
      <c r="AB91" s="245">
        <v>128.30000000000001</v>
      </c>
      <c r="AC91" s="245">
        <v>128</v>
      </c>
      <c r="AD91" s="245">
        <v>128.5</v>
      </c>
      <c r="AE91" s="245">
        <v>129.30000000000001</v>
      </c>
      <c r="AF91" s="245">
        <v>128.30000000000001</v>
      </c>
      <c r="AG91" s="272"/>
      <c r="AH91" s="226">
        <f t="shared" si="13"/>
        <v>130</v>
      </c>
      <c r="AI91" s="227">
        <f t="shared" si="15"/>
        <v>127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130.5</v>
      </c>
      <c r="C92" s="245">
        <v>130.5</v>
      </c>
      <c r="D92" s="245">
        <v>130.5</v>
      </c>
      <c r="E92" s="245">
        <v>131</v>
      </c>
      <c r="F92" s="245">
        <v>131</v>
      </c>
      <c r="G92" s="245">
        <v>132</v>
      </c>
      <c r="H92" s="245">
        <v>132</v>
      </c>
      <c r="I92" s="245">
        <v>132</v>
      </c>
      <c r="J92" s="245">
        <v>128</v>
      </c>
      <c r="K92" s="245">
        <v>128</v>
      </c>
      <c r="L92" s="245">
        <v>128</v>
      </c>
      <c r="M92" s="245">
        <v>131.5</v>
      </c>
      <c r="N92" s="245">
        <v>128.6</v>
      </c>
      <c r="O92" s="245">
        <v>128.1</v>
      </c>
      <c r="P92" s="245">
        <v>129.19999999999999</v>
      </c>
      <c r="Q92" s="245">
        <v>130.6</v>
      </c>
      <c r="R92" s="245">
        <v>129.5</v>
      </c>
      <c r="S92" s="245">
        <v>128.1</v>
      </c>
      <c r="T92" s="245">
        <v>130</v>
      </c>
      <c r="U92" s="245">
        <v>130</v>
      </c>
      <c r="V92" s="245">
        <v>130</v>
      </c>
      <c r="W92" s="245">
        <v>130</v>
      </c>
      <c r="X92" s="245">
        <v>130</v>
      </c>
      <c r="Y92" s="245">
        <v>128</v>
      </c>
      <c r="Z92" s="245">
        <v>128</v>
      </c>
      <c r="AA92" s="245">
        <v>128</v>
      </c>
      <c r="AB92" s="245">
        <v>129.69999999999999</v>
      </c>
      <c r="AC92" s="245">
        <v>129.80000000000001</v>
      </c>
      <c r="AD92" s="245">
        <v>129.5</v>
      </c>
      <c r="AE92" s="245">
        <v>130.30000000000001</v>
      </c>
      <c r="AF92" s="245">
        <v>129.69999999999999</v>
      </c>
      <c r="AG92" s="272"/>
      <c r="AH92" s="226">
        <f t="shared" si="13"/>
        <v>132</v>
      </c>
      <c r="AI92" s="227">
        <f t="shared" si="15"/>
        <v>128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134.69999999999999</v>
      </c>
      <c r="C93" s="245">
        <v>134.80000000000001</v>
      </c>
      <c r="D93" s="245">
        <v>134.80000000000001</v>
      </c>
      <c r="E93" s="245">
        <v>134</v>
      </c>
      <c r="F93" s="245">
        <v>134</v>
      </c>
      <c r="G93" s="245">
        <v>135</v>
      </c>
      <c r="H93" s="245">
        <v>135</v>
      </c>
      <c r="I93" s="245">
        <v>135</v>
      </c>
      <c r="J93" s="245">
        <v>131</v>
      </c>
      <c r="K93" s="245">
        <v>131</v>
      </c>
      <c r="L93" s="245">
        <v>131</v>
      </c>
      <c r="M93" s="245">
        <v>133.9</v>
      </c>
      <c r="N93" s="245">
        <v>132.4</v>
      </c>
      <c r="O93" s="245">
        <v>130.9</v>
      </c>
      <c r="P93" s="245">
        <v>132.1</v>
      </c>
      <c r="Q93" s="245">
        <v>132.4</v>
      </c>
      <c r="R93" s="245">
        <v>131.5</v>
      </c>
      <c r="S93" s="245">
        <v>130.6</v>
      </c>
      <c r="T93" s="245">
        <v>131</v>
      </c>
      <c r="U93" s="245">
        <v>131</v>
      </c>
      <c r="V93" s="245">
        <v>131</v>
      </c>
      <c r="W93" s="245">
        <v>131</v>
      </c>
      <c r="X93" s="245">
        <v>133</v>
      </c>
      <c r="Y93" s="245">
        <v>130</v>
      </c>
      <c r="Z93" s="245">
        <v>130</v>
      </c>
      <c r="AA93" s="245">
        <v>130</v>
      </c>
      <c r="AB93" s="245">
        <v>133.1</v>
      </c>
      <c r="AC93" s="245">
        <v>133.19999999999999</v>
      </c>
      <c r="AD93" s="245">
        <v>133.4</v>
      </c>
      <c r="AE93" s="245">
        <v>134.19999999999999</v>
      </c>
      <c r="AF93" s="245">
        <v>134</v>
      </c>
      <c r="AG93" s="272"/>
      <c r="AH93" s="226">
        <f t="shared" si="13"/>
        <v>135</v>
      </c>
      <c r="AI93" s="227">
        <f t="shared" si="15"/>
        <v>130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129</v>
      </c>
      <c r="C94" s="274">
        <v>133.30000000000001</v>
      </c>
      <c r="D94" s="274">
        <v>133.30000000000001</v>
      </c>
      <c r="E94" s="274">
        <v>132</v>
      </c>
      <c r="F94" s="274">
        <v>132</v>
      </c>
      <c r="G94" s="274">
        <v>131</v>
      </c>
      <c r="H94" s="274">
        <v>131</v>
      </c>
      <c r="I94" s="274">
        <v>131</v>
      </c>
      <c r="J94" s="274">
        <v>131</v>
      </c>
      <c r="K94" s="274">
        <v>131</v>
      </c>
      <c r="L94" s="274">
        <v>131</v>
      </c>
      <c r="M94" s="274">
        <v>132.9</v>
      </c>
      <c r="N94" s="274">
        <v>130.9</v>
      </c>
      <c r="O94" s="274">
        <v>132.30000000000001</v>
      </c>
      <c r="P94" s="274">
        <v>132</v>
      </c>
      <c r="Q94" s="274">
        <v>131.80000000000001</v>
      </c>
      <c r="R94" s="274">
        <v>130.5</v>
      </c>
      <c r="S94" s="274">
        <v>134</v>
      </c>
      <c r="T94" s="274">
        <v>132.6</v>
      </c>
      <c r="U94" s="274">
        <v>132.6</v>
      </c>
      <c r="V94" s="274">
        <v>132.6</v>
      </c>
      <c r="W94" s="274">
        <v>132.6</v>
      </c>
      <c r="X94" s="274">
        <v>133</v>
      </c>
      <c r="Y94" s="274">
        <v>133</v>
      </c>
      <c r="Z94" s="274">
        <v>133</v>
      </c>
      <c r="AA94" s="274">
        <v>133</v>
      </c>
      <c r="AB94" s="274">
        <v>133.69999999999999</v>
      </c>
      <c r="AC94" s="274">
        <v>133.19999999999999</v>
      </c>
      <c r="AD94" s="274">
        <v>129.9</v>
      </c>
      <c r="AE94" s="274">
        <v>136.1</v>
      </c>
      <c r="AF94" s="274">
        <v>128.80000000000001</v>
      </c>
      <c r="AG94" s="275"/>
      <c r="AH94" s="226">
        <f t="shared" si="13"/>
        <v>136.1</v>
      </c>
      <c r="AI94" s="227">
        <f t="shared" si="15"/>
        <v>128.80000000000001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120.2</v>
      </c>
      <c r="C95" s="245">
        <v>129.5</v>
      </c>
      <c r="D95" s="245">
        <v>129.5</v>
      </c>
      <c r="E95" s="245">
        <v>125.8</v>
      </c>
      <c r="F95" s="245">
        <v>125.8</v>
      </c>
      <c r="G95" s="245">
        <v>128</v>
      </c>
      <c r="H95" s="245">
        <v>128</v>
      </c>
      <c r="I95" s="245">
        <v>128</v>
      </c>
      <c r="J95" s="245">
        <v>126</v>
      </c>
      <c r="K95" s="245">
        <v>126</v>
      </c>
      <c r="L95" s="245">
        <v>126</v>
      </c>
      <c r="M95" s="245">
        <v>127</v>
      </c>
      <c r="N95" s="245">
        <v>127.4</v>
      </c>
      <c r="O95" s="245">
        <v>130.4</v>
      </c>
      <c r="P95" s="245">
        <v>127</v>
      </c>
      <c r="Q95" s="245">
        <v>135.19999999999999</v>
      </c>
      <c r="R95" s="245">
        <v>126.4</v>
      </c>
      <c r="S95" s="245">
        <v>135</v>
      </c>
      <c r="T95" s="245">
        <v>132</v>
      </c>
      <c r="U95" s="245">
        <v>132</v>
      </c>
      <c r="V95" s="245">
        <v>132</v>
      </c>
      <c r="W95" s="245">
        <v>132</v>
      </c>
      <c r="X95" s="245">
        <v>128</v>
      </c>
      <c r="Y95" s="245">
        <v>133</v>
      </c>
      <c r="Z95" s="245">
        <v>133</v>
      </c>
      <c r="AA95" s="245">
        <v>133</v>
      </c>
      <c r="AB95" s="245">
        <v>128.1</v>
      </c>
      <c r="AC95" s="245">
        <v>128.30000000000001</v>
      </c>
      <c r="AD95" s="245">
        <v>126</v>
      </c>
      <c r="AE95" s="245">
        <v>132.19999999999999</v>
      </c>
      <c r="AF95" s="245">
        <v>120.6</v>
      </c>
      <c r="AG95" s="272"/>
      <c r="AH95" s="226">
        <f t="shared" si="13"/>
        <v>135.19999999999999</v>
      </c>
      <c r="AI95" s="227">
        <f t="shared" si="15"/>
        <v>120.2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65.099999999999994</v>
      </c>
      <c r="C96" s="276">
        <v>65.3</v>
      </c>
      <c r="D96" s="276">
        <v>65.3</v>
      </c>
      <c r="E96" s="276">
        <v>65.5</v>
      </c>
      <c r="F96" s="276">
        <v>65.5</v>
      </c>
      <c r="G96" s="276">
        <v>65.8</v>
      </c>
      <c r="H96" s="276">
        <v>65.8</v>
      </c>
      <c r="I96" s="276">
        <v>65.8</v>
      </c>
      <c r="J96" s="276">
        <v>64.8</v>
      </c>
      <c r="K96" s="276">
        <v>64.8</v>
      </c>
      <c r="L96" s="276">
        <v>64.8</v>
      </c>
      <c r="M96" s="276">
        <v>64.5</v>
      </c>
      <c r="N96" s="276">
        <v>64.3</v>
      </c>
      <c r="O96" s="276">
        <v>64.5</v>
      </c>
      <c r="P96" s="276">
        <v>65</v>
      </c>
      <c r="Q96" s="276">
        <v>64.5</v>
      </c>
      <c r="R96" s="276">
        <v>64.3</v>
      </c>
      <c r="S96" s="276">
        <v>64.3</v>
      </c>
      <c r="T96" s="276">
        <v>64.7</v>
      </c>
      <c r="U96" s="276">
        <v>64.7</v>
      </c>
      <c r="V96" s="276">
        <v>64.7</v>
      </c>
      <c r="W96" s="276">
        <v>64.7</v>
      </c>
      <c r="X96" s="276">
        <v>65.2</v>
      </c>
      <c r="Y96" s="276">
        <v>64.2</v>
      </c>
      <c r="Z96" s="276">
        <v>64.2</v>
      </c>
      <c r="AA96" s="276">
        <v>64.2</v>
      </c>
      <c r="AB96" s="276">
        <v>64.7</v>
      </c>
      <c r="AC96" s="276">
        <v>64.5</v>
      </c>
      <c r="AD96" s="276">
        <v>64.900000000000006</v>
      </c>
      <c r="AE96" s="276">
        <v>65.5</v>
      </c>
      <c r="AF96" s="276">
        <v>65.099999999999994</v>
      </c>
      <c r="AG96" s="277"/>
      <c r="AH96" s="226">
        <f t="shared" si="13"/>
        <v>65.8</v>
      </c>
      <c r="AI96" s="227">
        <f t="shared" si="15"/>
        <v>64.2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v>90.899999999999977</v>
      </c>
      <c r="C98" s="280">
        <f t="shared" ref="C98:AF98" si="22">SUM(C15,C18,C21:C22,C46,C48:C49,C51,C53,C99:C102,C124,C130,C136,C145,C147,C159,C166,C169:C170,C177,C179,C181,C185:C187,C189:C191,C196,C202:C203,C205:C207,C215,C220)</f>
        <v>82.739999999999981</v>
      </c>
      <c r="D98" s="280">
        <f t="shared" si="22"/>
        <v>84.039999999999992</v>
      </c>
      <c r="E98" s="280">
        <f t="shared" si="22"/>
        <v>23.539999999999996</v>
      </c>
      <c r="F98" s="280">
        <f t="shared" si="22"/>
        <v>12.940000000000001</v>
      </c>
      <c r="G98" s="280">
        <f t="shared" si="22"/>
        <v>24.839999999999989</v>
      </c>
      <c r="H98" s="280">
        <f t="shared" si="22"/>
        <v>51.739999999999995</v>
      </c>
      <c r="I98" s="280">
        <f t="shared" si="22"/>
        <v>68.040000000000006</v>
      </c>
      <c r="J98" s="280">
        <f t="shared" si="22"/>
        <v>91.84</v>
      </c>
      <c r="K98" s="280">
        <f t="shared" si="22"/>
        <v>115.54</v>
      </c>
      <c r="L98" s="280">
        <f t="shared" si="22"/>
        <v>142.73999999999998</v>
      </c>
      <c r="M98" s="280">
        <f t="shared" si="22"/>
        <v>156.23999999999998</v>
      </c>
      <c r="N98" s="280">
        <f t="shared" si="22"/>
        <v>156.63999999999999</v>
      </c>
      <c r="O98" s="280">
        <f t="shared" si="22"/>
        <v>192.23999999999998</v>
      </c>
      <c r="P98" s="280">
        <f t="shared" si="22"/>
        <v>143.94</v>
      </c>
      <c r="Q98" s="280">
        <f t="shared" si="22"/>
        <v>96.499999999999986</v>
      </c>
      <c r="R98" s="280">
        <f t="shared" si="22"/>
        <v>83.4</v>
      </c>
      <c r="S98" s="280">
        <f t="shared" si="22"/>
        <v>100.1</v>
      </c>
      <c r="T98" s="280">
        <f t="shared" si="22"/>
        <v>86.899999999999991</v>
      </c>
      <c r="U98" s="280">
        <f t="shared" si="22"/>
        <v>131.6</v>
      </c>
      <c r="V98" s="280">
        <f t="shared" si="22"/>
        <v>154.6</v>
      </c>
      <c r="W98" s="280">
        <f t="shared" si="22"/>
        <v>140.6</v>
      </c>
      <c r="X98" s="280">
        <f t="shared" si="22"/>
        <v>151.89999999999998</v>
      </c>
      <c r="Y98" s="280">
        <f t="shared" si="22"/>
        <v>211.2</v>
      </c>
      <c r="Z98" s="280">
        <f t="shared" si="22"/>
        <v>213.70000000000002</v>
      </c>
      <c r="AA98" s="280">
        <f t="shared" si="22"/>
        <v>210.70000000000002</v>
      </c>
      <c r="AB98" s="280">
        <f t="shared" si="22"/>
        <v>564.9</v>
      </c>
      <c r="AC98" s="280">
        <f t="shared" si="22"/>
        <v>173.5</v>
      </c>
      <c r="AD98" s="280">
        <f t="shared" si="22"/>
        <v>191.1</v>
      </c>
      <c r="AE98" s="280">
        <f t="shared" si="22"/>
        <v>-2905.3</v>
      </c>
      <c r="AF98" s="280">
        <f t="shared" si="22"/>
        <v>47.400000000000013</v>
      </c>
      <c r="AG98" s="281"/>
      <c r="AH98" s="226">
        <f>MAX(C98:AF98)</f>
        <v>564.9</v>
      </c>
      <c r="AI98" s="227">
        <f>MIN(C98:AF98)</f>
        <v>-2905.3</v>
      </c>
    </row>
    <row r="99" spans="1:37" x14ac:dyDescent="0.25">
      <c r="A99" s="268" t="s">
        <v>103</v>
      </c>
      <c r="B99" s="282">
        <v>41.5</v>
      </c>
      <c r="C99" s="282">
        <v>52.7</v>
      </c>
      <c r="D99" s="282">
        <v>51</v>
      </c>
      <c r="E99" s="282">
        <v>11.6</v>
      </c>
      <c r="F99" s="282">
        <v>8.5</v>
      </c>
      <c r="G99" s="282">
        <v>10.7</v>
      </c>
      <c r="H99" s="282">
        <v>14</v>
      </c>
      <c r="I99" s="282">
        <v>12.8</v>
      </c>
      <c r="J99" s="282">
        <v>13.9</v>
      </c>
      <c r="K99" s="282">
        <v>15.3</v>
      </c>
      <c r="L99" s="282">
        <v>16.7</v>
      </c>
      <c r="M99" s="282">
        <v>20.7</v>
      </c>
      <c r="N99" s="282">
        <v>21.1</v>
      </c>
      <c r="O99" s="282">
        <f>34.2+19</f>
        <v>53.2</v>
      </c>
      <c r="P99" s="282">
        <v>17.399999999999999</v>
      </c>
      <c r="Q99" s="282">
        <v>30.2</v>
      </c>
      <c r="R99" s="282">
        <v>31.5</v>
      </c>
      <c r="S99" s="282">
        <v>32.700000000000003</v>
      </c>
      <c r="T99" s="282">
        <v>35</v>
      </c>
      <c r="U99" s="282">
        <v>80</v>
      </c>
      <c r="V99" s="282">
        <f>52+36</f>
        <v>88</v>
      </c>
      <c r="W99" s="282">
        <f>46+32</f>
        <v>78</v>
      </c>
      <c r="X99" s="282">
        <f>46+32</f>
        <v>78</v>
      </c>
      <c r="Y99" s="282">
        <f>49+35</f>
        <v>84</v>
      </c>
      <c r="Z99" s="282">
        <v>77</v>
      </c>
      <c r="AA99" s="282">
        <f>46+30</f>
        <v>76</v>
      </c>
      <c r="AB99" s="282">
        <v>66.8</v>
      </c>
      <c r="AC99" s="282">
        <v>57.9</v>
      </c>
      <c r="AD99" s="282">
        <v>68.2</v>
      </c>
      <c r="AE99" s="282">
        <v>53.2</v>
      </c>
      <c r="AF99" s="282">
        <v>35.299999999999997</v>
      </c>
      <c r="AG99" s="283">
        <v>75</v>
      </c>
      <c r="AH99" s="226">
        <f t="shared" ref="AH99:AH106" si="23">IF(ABS(MAX(C99:AF99))&gt;ABS(MIN(C99:AF99)),MAX(C99:AF99),MIN(C99:AF99))</f>
        <v>88</v>
      </c>
      <c r="AI99" s="284">
        <f t="shared" ref="AI99:AI106" si="24">INDEX($C$9:$AF$9,1,MATCH(AH99,C99:AF99,0))</f>
        <v>0.70833333333333304</v>
      </c>
    </row>
    <row r="100" spans="1:37" x14ac:dyDescent="0.25">
      <c r="A100" s="271" t="s">
        <v>104</v>
      </c>
      <c r="B100" s="285">
        <v>-115.2</v>
      </c>
      <c r="C100" s="285">
        <f>-68-72</f>
        <v>-140</v>
      </c>
      <c r="D100" s="285">
        <v>-137</v>
      </c>
      <c r="E100" s="285">
        <v>-135</v>
      </c>
      <c r="F100" s="285">
        <v>-133</v>
      </c>
      <c r="G100" s="285">
        <v>-124</v>
      </c>
      <c r="H100" s="285">
        <v>-106</v>
      </c>
      <c r="I100" s="285">
        <v>-90</v>
      </c>
      <c r="J100" s="285">
        <v>-104</v>
      </c>
      <c r="K100" s="285">
        <v>-93</v>
      </c>
      <c r="L100" s="285">
        <v>-88</v>
      </c>
      <c r="M100" s="285">
        <f>-41-44</f>
        <v>-85</v>
      </c>
      <c r="N100" s="285">
        <f>-39-42</f>
        <v>-81</v>
      </c>
      <c r="O100" s="285">
        <f>-38.1-41.2</f>
        <v>-79.300000000000011</v>
      </c>
      <c r="P100" s="285">
        <f>-42-45.6</f>
        <v>-87.6</v>
      </c>
      <c r="Q100" s="285">
        <f>-42-46</f>
        <v>-88</v>
      </c>
      <c r="R100" s="285">
        <f>-47.6-51</f>
        <v>-98.6</v>
      </c>
      <c r="S100" s="285">
        <f>-50.5-54.2</f>
        <v>-104.7</v>
      </c>
      <c r="T100" s="285">
        <v>-100</v>
      </c>
      <c r="U100" s="285">
        <v>-98</v>
      </c>
      <c r="V100" s="285">
        <f>-43-40</f>
        <v>-83</v>
      </c>
      <c r="W100" s="285">
        <v>-79</v>
      </c>
      <c r="X100" s="285">
        <f>AD101-34-36</f>
        <v>-67.7</v>
      </c>
      <c r="Y100" s="285">
        <f>-21.4-23</f>
        <v>-44.4</v>
      </c>
      <c r="Z100" s="285">
        <v>-39</v>
      </c>
      <c r="AA100" s="285">
        <f>-43-46</f>
        <v>-89</v>
      </c>
      <c r="AB100" s="285">
        <v>-100</v>
      </c>
      <c r="AC100" s="285">
        <v>-107.9</v>
      </c>
      <c r="AD100" s="285">
        <v>-92.3</v>
      </c>
      <c r="AE100" s="285">
        <v>-3132</v>
      </c>
      <c r="AF100" s="285">
        <f>-68.8-71</f>
        <v>-139.80000000000001</v>
      </c>
      <c r="AG100" s="283">
        <v>240</v>
      </c>
      <c r="AH100" s="226">
        <f t="shared" si="23"/>
        <v>-3132</v>
      </c>
      <c r="AI100" s="284">
        <f t="shared" si="24"/>
        <v>0.91666666666666696</v>
      </c>
    </row>
    <row r="101" spans="1:37" x14ac:dyDescent="0.25">
      <c r="A101" s="271" t="s">
        <v>105</v>
      </c>
      <c r="B101" s="285">
        <v>-4</v>
      </c>
      <c r="C101" s="285">
        <v>-6.1</v>
      </c>
      <c r="D101" s="285">
        <v>-6.1</v>
      </c>
      <c r="E101" s="285">
        <v>-8.5</v>
      </c>
      <c r="F101" s="285">
        <v>-5</v>
      </c>
      <c r="G101" s="285">
        <v>-4.3</v>
      </c>
      <c r="H101" s="285">
        <v>1.3</v>
      </c>
      <c r="I101" s="285">
        <v>4.8</v>
      </c>
      <c r="J101" s="285">
        <v>-9.1</v>
      </c>
      <c r="K101" s="285">
        <v>-4.7</v>
      </c>
      <c r="L101" s="285">
        <v>-1.3</v>
      </c>
      <c r="M101" s="285">
        <v>7.6</v>
      </c>
      <c r="N101" s="285">
        <v>10.9</v>
      </c>
      <c r="O101" s="285">
        <v>5.3</v>
      </c>
      <c r="P101" s="285">
        <v>4.2</v>
      </c>
      <c r="Q101" s="285">
        <v>4.7</v>
      </c>
      <c r="R101" s="285">
        <v>0.9</v>
      </c>
      <c r="S101" s="285">
        <v>1.8</v>
      </c>
      <c r="T101" s="285">
        <v>2.2999999999999998</v>
      </c>
      <c r="U101" s="285">
        <v>0</v>
      </c>
      <c r="V101" s="285">
        <v>0</v>
      </c>
      <c r="W101" s="285">
        <v>0</v>
      </c>
      <c r="X101" s="285">
        <v>0</v>
      </c>
      <c r="Y101" s="285">
        <v>10</v>
      </c>
      <c r="Z101" s="285">
        <v>11</v>
      </c>
      <c r="AA101" s="285">
        <v>5.4</v>
      </c>
      <c r="AB101" s="285">
        <v>3.9</v>
      </c>
      <c r="AC101" s="285">
        <v>1</v>
      </c>
      <c r="AD101" s="285">
        <v>2.2999999999999998</v>
      </c>
      <c r="AE101" s="285">
        <v>-4.3</v>
      </c>
      <c r="AF101" s="285">
        <v>-5.9</v>
      </c>
      <c r="AG101" s="283">
        <v>60</v>
      </c>
      <c r="AH101" s="226">
        <f t="shared" si="23"/>
        <v>11</v>
      </c>
      <c r="AI101" s="284">
        <f t="shared" si="24"/>
        <v>0.79166666666666663</v>
      </c>
    </row>
    <row r="102" spans="1:37" x14ac:dyDescent="0.25">
      <c r="A102" s="286" t="s">
        <v>106</v>
      </c>
      <c r="B102" s="287">
        <v>0</v>
      </c>
      <c r="C102" s="287">
        <v>0</v>
      </c>
      <c r="D102" s="287">
        <v>0</v>
      </c>
      <c r="E102" s="287">
        <v>0</v>
      </c>
      <c r="F102" s="287">
        <v>0</v>
      </c>
      <c r="G102" s="287">
        <v>0</v>
      </c>
      <c r="H102" s="287">
        <v>0</v>
      </c>
      <c r="I102" s="287">
        <v>0</v>
      </c>
      <c r="J102" s="287">
        <v>49.6</v>
      </c>
      <c r="K102" s="287">
        <v>55.5</v>
      </c>
      <c r="L102" s="287">
        <v>62.9</v>
      </c>
      <c r="M102" s="287">
        <v>51.4</v>
      </c>
      <c r="N102" s="287">
        <v>44.1</v>
      </c>
      <c r="O102" s="287">
        <v>43.1</v>
      </c>
      <c r="P102" s="287">
        <v>40</v>
      </c>
      <c r="Q102" s="287">
        <v>0</v>
      </c>
      <c r="R102" s="287">
        <v>0</v>
      </c>
      <c r="S102" s="287">
        <v>0</v>
      </c>
      <c r="T102" s="287">
        <v>0</v>
      </c>
      <c r="U102" s="287">
        <v>0</v>
      </c>
      <c r="V102" s="287">
        <v>0</v>
      </c>
      <c r="W102" s="287">
        <v>0</v>
      </c>
      <c r="X102" s="287">
        <v>0</v>
      </c>
      <c r="Y102" s="287">
        <v>0</v>
      </c>
      <c r="Z102" s="287">
        <v>8</v>
      </c>
      <c r="AA102" s="287">
        <v>56.6</v>
      </c>
      <c r="AB102" s="287">
        <v>416</v>
      </c>
      <c r="AC102" s="287">
        <v>44.7</v>
      </c>
      <c r="AD102" s="287">
        <v>35.1</v>
      </c>
      <c r="AE102" s="287">
        <v>0</v>
      </c>
      <c r="AF102" s="287">
        <v>0</v>
      </c>
      <c r="AG102" s="288">
        <v>120</v>
      </c>
      <c r="AH102" s="226">
        <f t="shared" si="23"/>
        <v>416</v>
      </c>
      <c r="AI102" s="284">
        <f t="shared" si="24"/>
        <v>0.83333333333333337</v>
      </c>
    </row>
    <row r="103" spans="1:37" x14ac:dyDescent="0.25">
      <c r="A103" s="286" t="s">
        <v>107</v>
      </c>
      <c r="B103" s="287">
        <v>58.4</v>
      </c>
      <c r="C103" s="287">
        <v>50.3</v>
      </c>
      <c r="D103" s="287">
        <v>50.3</v>
      </c>
      <c r="E103" s="287">
        <v>45</v>
      </c>
      <c r="F103" s="287">
        <v>43.9</v>
      </c>
      <c r="G103" s="287">
        <v>48</v>
      </c>
      <c r="H103" s="287">
        <v>56.3</v>
      </c>
      <c r="I103" s="287">
        <v>65.400000000000006</v>
      </c>
      <c r="J103" s="287">
        <v>57.4</v>
      </c>
      <c r="K103" s="287">
        <v>56.7</v>
      </c>
      <c r="L103" s="287">
        <v>58.6</v>
      </c>
      <c r="M103" s="287">
        <v>51.6</v>
      </c>
      <c r="N103" s="287">
        <v>42</v>
      </c>
      <c r="O103" s="287">
        <v>33.5</v>
      </c>
      <c r="P103" s="287">
        <v>38.1</v>
      </c>
      <c r="Q103" s="287">
        <v>25.2</v>
      </c>
      <c r="R103" s="287">
        <v>25.1</v>
      </c>
      <c r="S103" s="287">
        <v>30</v>
      </c>
      <c r="T103" s="287">
        <v>33</v>
      </c>
      <c r="U103" s="287">
        <v>26</v>
      </c>
      <c r="V103" s="287">
        <v>26</v>
      </c>
      <c r="W103" s="287">
        <v>50</v>
      </c>
      <c r="X103" s="287">
        <v>48</v>
      </c>
      <c r="Y103" s="287">
        <v>67</v>
      </c>
      <c r="Z103" s="287">
        <v>81</v>
      </c>
      <c r="AA103" s="287">
        <v>54</v>
      </c>
      <c r="AB103" s="287">
        <v>47.3</v>
      </c>
      <c r="AC103" s="287">
        <v>54.3</v>
      </c>
      <c r="AD103" s="287">
        <v>55.8</v>
      </c>
      <c r="AE103" s="287">
        <v>39</v>
      </c>
      <c r="AF103" s="287">
        <v>43</v>
      </c>
      <c r="AG103" s="288"/>
      <c r="AH103" s="226">
        <f t="shared" si="23"/>
        <v>81</v>
      </c>
      <c r="AI103" s="284">
        <f t="shared" si="24"/>
        <v>0.79166666666666663</v>
      </c>
    </row>
    <row r="104" spans="1:37" x14ac:dyDescent="0.25">
      <c r="A104" s="286" t="s">
        <v>108</v>
      </c>
      <c r="B104" s="287">
        <v>65.099999999999994</v>
      </c>
      <c r="C104" s="287">
        <v>41.8</v>
      </c>
      <c r="D104" s="287">
        <v>41.8</v>
      </c>
      <c r="E104" s="287">
        <v>65</v>
      </c>
      <c r="F104" s="287">
        <v>60.4</v>
      </c>
      <c r="G104" s="287">
        <v>52</v>
      </c>
      <c r="H104" s="287">
        <v>53.8</v>
      </c>
      <c r="I104" s="287">
        <v>43.8</v>
      </c>
      <c r="J104" s="287">
        <v>33.9</v>
      </c>
      <c r="K104" s="287">
        <v>35.9</v>
      </c>
      <c r="L104" s="287">
        <v>42</v>
      </c>
      <c r="M104" s="287">
        <v>29.4</v>
      </c>
      <c r="N104" s="287">
        <v>27.5</v>
      </c>
      <c r="O104" s="287">
        <v>27.3</v>
      </c>
      <c r="P104" s="287">
        <v>46</v>
      </c>
      <c r="Q104" s="287">
        <v>-39</v>
      </c>
      <c r="R104" s="287">
        <v>-32</v>
      </c>
      <c r="S104" s="287">
        <v>-42</v>
      </c>
      <c r="T104" s="287">
        <v>-22</v>
      </c>
      <c r="U104" s="287">
        <v>-28</v>
      </c>
      <c r="V104" s="287">
        <v>-28</v>
      </c>
      <c r="W104" s="287">
        <v>-21</v>
      </c>
      <c r="X104" s="287">
        <v>-21</v>
      </c>
      <c r="Y104" s="287">
        <v>-9.9</v>
      </c>
      <c r="Z104" s="287">
        <v>0</v>
      </c>
      <c r="AA104" s="287">
        <v>17</v>
      </c>
      <c r="AB104" s="287">
        <v>41.5</v>
      </c>
      <c r="AC104" s="287">
        <v>42.4</v>
      </c>
      <c r="AD104" s="287">
        <v>42.2</v>
      </c>
      <c r="AE104" s="287">
        <v>46.7</v>
      </c>
      <c r="AF104" s="287">
        <v>47.5</v>
      </c>
      <c r="AG104" s="289"/>
      <c r="AH104" s="226">
        <f t="shared" si="23"/>
        <v>65</v>
      </c>
      <c r="AI104" s="284">
        <f t="shared" si="24"/>
        <v>0.125</v>
      </c>
    </row>
    <row r="105" spans="1:37" x14ac:dyDescent="0.25">
      <c r="A105" s="290" t="s">
        <v>109</v>
      </c>
      <c r="B105" s="274">
        <v>107.7</v>
      </c>
      <c r="C105" s="274">
        <v>108.7</v>
      </c>
      <c r="D105" s="274">
        <v>108.7</v>
      </c>
      <c r="E105" s="274">
        <v>116</v>
      </c>
      <c r="F105" s="274">
        <v>117</v>
      </c>
      <c r="G105" s="274">
        <v>114.5</v>
      </c>
      <c r="H105" s="274">
        <v>119.6</v>
      </c>
      <c r="I105" s="274">
        <v>118.7</v>
      </c>
      <c r="J105" s="274">
        <v>119</v>
      </c>
      <c r="K105" s="274">
        <v>118</v>
      </c>
      <c r="L105" s="274">
        <v>121</v>
      </c>
      <c r="M105" s="274">
        <v>107.3</v>
      </c>
      <c r="N105" s="274">
        <v>123</v>
      </c>
      <c r="O105" s="274">
        <v>114.4</v>
      </c>
      <c r="P105" s="274">
        <v>106</v>
      </c>
      <c r="Q105" s="274">
        <v>109.4</v>
      </c>
      <c r="R105" s="274">
        <v>109</v>
      </c>
      <c r="S105" s="274">
        <v>108</v>
      </c>
      <c r="T105" s="274">
        <v>109</v>
      </c>
      <c r="U105" s="274">
        <v>110</v>
      </c>
      <c r="V105" s="274">
        <v>110</v>
      </c>
      <c r="W105" s="274">
        <v>106</v>
      </c>
      <c r="X105" s="274">
        <v>106</v>
      </c>
      <c r="Y105" s="274">
        <v>91</v>
      </c>
      <c r="Z105" s="274">
        <v>95</v>
      </c>
      <c r="AA105" s="274">
        <v>95</v>
      </c>
      <c r="AB105" s="274">
        <v>96.7</v>
      </c>
      <c r="AC105" s="274">
        <v>97.6</v>
      </c>
      <c r="AD105" s="274">
        <v>97.1</v>
      </c>
      <c r="AE105" s="274">
        <v>104.9</v>
      </c>
      <c r="AF105" s="274">
        <v>102.7</v>
      </c>
      <c r="AG105" s="289"/>
      <c r="AH105" s="226">
        <f t="shared" si="23"/>
        <v>123</v>
      </c>
      <c r="AI105" s="284">
        <f t="shared" si="24"/>
        <v>0.375</v>
      </c>
    </row>
    <row r="106" spans="1:37" ht="15.75" thickBot="1" x14ac:dyDescent="0.3">
      <c r="A106" s="290" t="s">
        <v>110</v>
      </c>
      <c r="B106" s="274">
        <v>73.400000000000006</v>
      </c>
      <c r="C106" s="274">
        <v>95.4</v>
      </c>
      <c r="D106" s="274">
        <v>-7</v>
      </c>
      <c r="E106" s="274">
        <v>88</v>
      </c>
      <c r="F106" s="274">
        <v>81.8</v>
      </c>
      <c r="G106" s="274">
        <v>76</v>
      </c>
      <c r="H106" s="274">
        <v>60</v>
      </c>
      <c r="I106" s="274">
        <v>52.8</v>
      </c>
      <c r="J106" s="274">
        <v>60.4</v>
      </c>
      <c r="K106" s="274">
        <v>53.9</v>
      </c>
      <c r="L106" s="274">
        <v>54.3</v>
      </c>
      <c r="M106" s="274">
        <v>57.1</v>
      </c>
      <c r="N106" s="274">
        <v>53.5</v>
      </c>
      <c r="O106" s="274">
        <v>47.8</v>
      </c>
      <c r="P106" s="274">
        <v>48</v>
      </c>
      <c r="Q106" s="274">
        <v>63</v>
      </c>
      <c r="R106" s="274">
        <v>73</v>
      </c>
      <c r="S106" s="274">
        <v>70</v>
      </c>
      <c r="T106" s="274">
        <v>74</v>
      </c>
      <c r="U106" s="274">
        <v>70</v>
      </c>
      <c r="V106" s="274">
        <v>70</v>
      </c>
      <c r="W106" s="274">
        <v>49</v>
      </c>
      <c r="X106" s="274">
        <v>52</v>
      </c>
      <c r="Y106" s="274">
        <v>31</v>
      </c>
      <c r="Z106" s="274">
        <v>37</v>
      </c>
      <c r="AA106" s="274">
        <v>57</v>
      </c>
      <c r="AB106" s="274">
        <v>62</v>
      </c>
      <c r="AC106" s="274">
        <v>65.099999999999994</v>
      </c>
      <c r="AD106" s="274">
        <v>58.4</v>
      </c>
      <c r="AE106" s="274">
        <v>85.3</v>
      </c>
      <c r="AF106" s="274">
        <v>95</v>
      </c>
      <c r="AG106" s="289"/>
      <c r="AH106" s="226">
        <f t="shared" si="23"/>
        <v>95.4</v>
      </c>
      <c r="AI106" s="284">
        <f t="shared" si="24"/>
        <v>4.1666666666666664E-2</v>
      </c>
    </row>
    <row r="107" spans="1:37" ht="15.75" thickBot="1" x14ac:dyDescent="0.3">
      <c r="A107" s="291" t="s">
        <v>111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92"/>
      <c r="AB107" s="292"/>
      <c r="AC107" s="292"/>
      <c r="AD107" s="292"/>
      <c r="AE107" s="292"/>
      <c r="AF107" s="292"/>
      <c r="AG107" s="293"/>
      <c r="AH107" s="294"/>
      <c r="AI107" s="227"/>
      <c r="AK107" s="228"/>
    </row>
    <row r="108" spans="1:37" x14ac:dyDescent="0.25">
      <c r="A108" s="295" t="s">
        <v>112</v>
      </c>
      <c r="B108" s="296"/>
      <c r="C108" s="29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8">
        <v>9.94</v>
      </c>
      <c r="AH108" s="226"/>
      <c r="AI108" s="227"/>
      <c r="AK108" s="228"/>
    </row>
    <row r="109" spans="1:37" x14ac:dyDescent="0.25">
      <c r="A109" s="271" t="s">
        <v>113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/>
      <c r="AH109" s="226"/>
      <c r="AI109" s="227"/>
      <c r="AK109" s="228"/>
    </row>
    <row r="110" spans="1:37" x14ac:dyDescent="0.25">
      <c r="A110" s="271" t="s">
        <v>114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115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116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117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118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119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120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121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122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123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124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125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126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127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128</v>
      </c>
      <c r="B124" s="299"/>
      <c r="C124" s="300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301">
        <v>9.9</v>
      </c>
      <c r="AH124" s="226"/>
      <c r="AI124" s="227"/>
      <c r="AK124" s="228"/>
    </row>
    <row r="125" spans="1:37" x14ac:dyDescent="0.25">
      <c r="A125" s="286" t="s">
        <v>129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2">
        <v>9.6579999999999995</v>
      </c>
      <c r="AH125" s="226"/>
      <c r="AI125" s="227"/>
      <c r="AK125" s="228"/>
    </row>
    <row r="126" spans="1:37" x14ac:dyDescent="0.25">
      <c r="A126" s="286" t="s">
        <v>130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</v>
      </c>
      <c r="AH126" s="226"/>
      <c r="AI126" s="227"/>
      <c r="AK126" s="228"/>
    </row>
    <row r="127" spans="1:37" x14ac:dyDescent="0.25">
      <c r="A127" s="286" t="s">
        <v>131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9.51</v>
      </c>
      <c r="AH127" s="226"/>
      <c r="AI127" s="227"/>
      <c r="AK127" s="228"/>
    </row>
    <row r="128" spans="1:37" x14ac:dyDescent="0.25">
      <c r="A128" s="286" t="s">
        <v>132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9.4</v>
      </c>
      <c r="AH128" s="226"/>
      <c r="AI128" s="227"/>
      <c r="AK128" s="228"/>
    </row>
    <row r="129" spans="1:37" x14ac:dyDescent="0.25">
      <c r="A129" s="286" t="s">
        <v>133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8.8000000000000007</v>
      </c>
      <c r="AH129" s="226"/>
      <c r="AI129" s="227"/>
      <c r="AK129" s="228"/>
    </row>
    <row r="130" spans="1:37" x14ac:dyDescent="0.25">
      <c r="A130" s="286" t="s">
        <v>134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8.5</v>
      </c>
      <c r="AH130" s="226"/>
      <c r="AI130" s="227"/>
      <c r="AK130" s="228"/>
    </row>
    <row r="131" spans="1:37" x14ac:dyDescent="0.25">
      <c r="A131" s="286" t="s">
        <v>135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136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8.4</v>
      </c>
      <c r="AH132" s="226"/>
      <c r="AI132" s="227"/>
      <c r="AK132" s="228"/>
    </row>
    <row r="133" spans="1:37" ht="13.5" customHeight="1" x14ac:dyDescent="0.25">
      <c r="A133" s="286" t="s">
        <v>137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</v>
      </c>
      <c r="AH133" s="226"/>
      <c r="AI133" s="227"/>
      <c r="AK133" s="228"/>
    </row>
    <row r="134" spans="1:37" x14ac:dyDescent="0.25">
      <c r="A134" s="286" t="s">
        <v>138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139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140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7.8</v>
      </c>
      <c r="AH136" s="226"/>
      <c r="AI136" s="227"/>
      <c r="AK136" s="228"/>
    </row>
    <row r="137" spans="1:37" x14ac:dyDescent="0.25">
      <c r="A137" s="286" t="s">
        <v>141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7.6</v>
      </c>
      <c r="AH137" s="226"/>
      <c r="AI137" s="227"/>
      <c r="AK137" s="228"/>
    </row>
    <row r="138" spans="1:37" x14ac:dyDescent="0.25">
      <c r="A138" s="286" t="s">
        <v>142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7.5</v>
      </c>
      <c r="AH138" s="226"/>
      <c r="AI138" s="227"/>
      <c r="AK138" s="228"/>
    </row>
    <row r="139" spans="1:37" x14ac:dyDescent="0.25">
      <c r="A139" s="286" t="s">
        <v>143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144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</v>
      </c>
      <c r="AH140" s="226"/>
      <c r="AI140" s="227"/>
      <c r="AK140" s="228"/>
    </row>
    <row r="141" spans="1:37" x14ac:dyDescent="0.25">
      <c r="A141" s="286" t="s">
        <v>145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146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147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148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6.6</v>
      </c>
      <c r="AH144" s="226"/>
      <c r="AI144" s="227"/>
      <c r="AK144" s="228"/>
    </row>
    <row r="145" spans="1:37" x14ac:dyDescent="0.25">
      <c r="A145" s="286" t="s">
        <v>149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150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6.4</v>
      </c>
      <c r="AH146" s="226"/>
      <c r="AI146" s="227"/>
      <c r="AK146" s="228"/>
    </row>
    <row r="147" spans="1:37" x14ac:dyDescent="0.25">
      <c r="A147" s="286" t="s">
        <v>151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</v>
      </c>
      <c r="AH147" s="226"/>
      <c r="AI147" s="227"/>
      <c r="AK147" s="228"/>
    </row>
    <row r="148" spans="1:37" x14ac:dyDescent="0.25">
      <c r="A148" s="286" t="s">
        <v>152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5.0999999999999996</v>
      </c>
      <c r="AH148" s="226"/>
      <c r="AI148" s="227"/>
      <c r="AK148" s="228"/>
    </row>
    <row r="149" spans="1:37" x14ac:dyDescent="0.25">
      <c r="A149" s="286" t="s">
        <v>153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</v>
      </c>
      <c r="AH149" s="226"/>
      <c r="AI149" s="227"/>
      <c r="AK149" s="228"/>
    </row>
    <row r="150" spans="1:37" x14ac:dyDescent="0.25">
      <c r="A150" s="271" t="s">
        <v>154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1">
        <v>5</v>
      </c>
      <c r="AH150" s="226"/>
      <c r="AI150" s="227"/>
      <c r="AK150" s="228"/>
    </row>
    <row r="151" spans="1:37" x14ac:dyDescent="0.25">
      <c r="A151" s="286" t="s">
        <v>155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2">
        <v>5</v>
      </c>
      <c r="AH151" s="226"/>
      <c r="AI151" s="227"/>
      <c r="AK151" s="228"/>
    </row>
    <row r="152" spans="1:37" x14ac:dyDescent="0.25">
      <c r="A152" s="286" t="s">
        <v>156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157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158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159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160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4.9930000000000003</v>
      </c>
      <c r="AH156" s="226"/>
      <c r="AI156" s="227"/>
      <c r="AK156" s="228"/>
    </row>
    <row r="157" spans="1:37" x14ac:dyDescent="0.25">
      <c r="A157" s="286" t="s">
        <v>161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4.9800000000000004</v>
      </c>
      <c r="AH157" s="226"/>
      <c r="AI157" s="227"/>
      <c r="AK157" s="228"/>
    </row>
    <row r="158" spans="1:37" x14ac:dyDescent="0.25">
      <c r="A158" s="286" t="s">
        <v>162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4.95</v>
      </c>
      <c r="AH158" s="226"/>
      <c r="AI158" s="227"/>
      <c r="AK158" s="228"/>
    </row>
    <row r="159" spans="1:37" x14ac:dyDescent="0.25">
      <c r="A159" s="286" t="s">
        <v>163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164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4.8</v>
      </c>
      <c r="AH160" s="226"/>
      <c r="AI160" s="227"/>
      <c r="AK160" s="228"/>
    </row>
    <row r="161" spans="1:37" x14ac:dyDescent="0.25">
      <c r="A161" s="286" t="s">
        <v>165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166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167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4.5</v>
      </c>
      <c r="AH163" s="226"/>
      <c r="AI163" s="227"/>
      <c r="AK163" s="228"/>
    </row>
    <row r="164" spans="1:37" x14ac:dyDescent="0.25">
      <c r="A164" s="286" t="s">
        <v>168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169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4.4550000000000001</v>
      </c>
      <c r="AH165" s="226"/>
      <c r="AI165" s="227"/>
      <c r="AK165" s="228"/>
    </row>
    <row r="166" spans="1:37" x14ac:dyDescent="0.25">
      <c r="A166" s="286" t="s">
        <v>170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4.41</v>
      </c>
      <c r="AH166" s="226"/>
      <c r="AI166" s="227"/>
      <c r="AK166" s="228"/>
    </row>
    <row r="167" spans="1:37" x14ac:dyDescent="0.25">
      <c r="A167" s="286" t="s">
        <v>171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4.4000000000000004</v>
      </c>
      <c r="AH167" s="226"/>
      <c r="AI167" s="227"/>
      <c r="AK167" s="228"/>
    </row>
    <row r="168" spans="1:37" x14ac:dyDescent="0.25">
      <c r="A168" s="286" t="s">
        <v>172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4.3600000000000003</v>
      </c>
      <c r="AH168" s="226"/>
      <c r="AI168" s="227"/>
      <c r="AK168" s="228"/>
    </row>
    <row r="169" spans="1:37" x14ac:dyDescent="0.25">
      <c r="A169" s="286" t="s">
        <v>173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4.2</v>
      </c>
      <c r="AH169" s="226"/>
      <c r="AI169" s="227"/>
      <c r="AK169" s="228"/>
    </row>
    <row r="170" spans="1:37" x14ac:dyDescent="0.25">
      <c r="A170" s="286" t="s">
        <v>174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</v>
      </c>
      <c r="AH170" s="226"/>
      <c r="AI170" s="227"/>
      <c r="AK170" s="228"/>
    </row>
    <row r="171" spans="1:37" x14ac:dyDescent="0.25">
      <c r="A171" s="286" t="s">
        <v>175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176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177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178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179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180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181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182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3.75</v>
      </c>
      <c r="AH178" s="226"/>
      <c r="AI178" s="227"/>
      <c r="AK178" s="228"/>
    </row>
    <row r="179" spans="1:37" x14ac:dyDescent="0.25">
      <c r="A179" s="286" t="s">
        <v>183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3.52</v>
      </c>
      <c r="AH179" s="226"/>
      <c r="AI179" s="227"/>
      <c r="AK179" s="228"/>
    </row>
    <row r="180" spans="1:37" x14ac:dyDescent="0.25">
      <c r="A180" s="286" t="s">
        <v>184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3.33</v>
      </c>
      <c r="AH180" s="226"/>
      <c r="AI180" s="227"/>
      <c r="AK180" s="228"/>
    </row>
    <row r="181" spans="1:37" x14ac:dyDescent="0.25">
      <c r="A181" s="286" t="s">
        <v>185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3.2</v>
      </c>
      <c r="AH181" s="226"/>
      <c r="AI181" s="227"/>
      <c r="AK181" s="228"/>
    </row>
    <row r="182" spans="1:37" x14ac:dyDescent="0.25">
      <c r="A182" s="286" t="s">
        <v>186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</v>
      </c>
      <c r="AH182" s="226"/>
      <c r="AI182" s="227"/>
      <c r="AK182" s="228"/>
    </row>
    <row r="183" spans="1:37" x14ac:dyDescent="0.25">
      <c r="A183" s="286" t="s">
        <v>187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188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189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190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191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192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193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194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2.83</v>
      </c>
      <c r="AH190" s="226"/>
      <c r="AI190" s="227"/>
      <c r="AK190" s="228"/>
    </row>
    <row r="191" spans="1:37" x14ac:dyDescent="0.25">
      <c r="A191" s="286" t="s">
        <v>195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2.5</v>
      </c>
      <c r="AH191" s="226"/>
      <c r="AI191" s="227"/>
      <c r="AK191" s="228"/>
    </row>
    <row r="192" spans="1:37" x14ac:dyDescent="0.25">
      <c r="A192" s="286" t="s">
        <v>196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197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2.4</v>
      </c>
      <c r="AH193" s="226"/>
      <c r="AI193" s="227"/>
      <c r="AK193" s="228"/>
    </row>
    <row r="194" spans="1:37" x14ac:dyDescent="0.25">
      <c r="A194" s="286" t="s">
        <v>198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199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2.2000000000000002</v>
      </c>
      <c r="AH195" s="226"/>
      <c r="AI195" s="227"/>
      <c r="AK195" s="228"/>
    </row>
    <row r="196" spans="1:37" x14ac:dyDescent="0.25">
      <c r="A196" s="286" t="s">
        <v>200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</v>
      </c>
      <c r="AH196" s="226"/>
      <c r="AI196" s="227"/>
      <c r="AK196" s="228"/>
    </row>
    <row r="197" spans="1:37" x14ac:dyDescent="0.25">
      <c r="A197" s="286" t="s">
        <v>201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202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203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1.8</v>
      </c>
      <c r="AH199" s="226"/>
      <c r="AI199" s="227"/>
      <c r="AK199" s="228"/>
    </row>
    <row r="200" spans="1:37" x14ac:dyDescent="0.25">
      <c r="A200" s="286" t="s">
        <v>204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205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1.65</v>
      </c>
      <c r="AH201" s="226"/>
      <c r="AI201" s="227"/>
      <c r="AK201" s="228"/>
    </row>
    <row r="202" spans="1:37" x14ac:dyDescent="0.25">
      <c r="A202" s="286" t="s">
        <v>206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1.5</v>
      </c>
      <c r="AH202" s="226"/>
      <c r="AI202" s="227"/>
      <c r="AK202" s="228"/>
    </row>
    <row r="203" spans="1:37" x14ac:dyDescent="0.25">
      <c r="A203" s="286" t="s">
        <v>207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0.998</v>
      </c>
      <c r="AH203" s="226"/>
      <c r="AI203" s="227"/>
      <c r="AK203" s="228"/>
    </row>
    <row r="204" spans="1:37" x14ac:dyDescent="0.25">
      <c r="A204" s="286" t="s">
        <v>208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0.997</v>
      </c>
      <c r="AH204" s="226"/>
      <c r="AI204" s="227"/>
      <c r="AK204" s="228"/>
    </row>
    <row r="205" spans="1:37" x14ac:dyDescent="0.25">
      <c r="A205" s="286" t="s">
        <v>209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210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0.996</v>
      </c>
      <c r="AH206" s="226"/>
      <c r="AI206" s="227"/>
      <c r="AK206" s="228"/>
    </row>
    <row r="207" spans="1:37" x14ac:dyDescent="0.25">
      <c r="A207" s="286" t="s">
        <v>211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212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213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0.995</v>
      </c>
      <c r="AH209" s="226"/>
      <c r="AI209" s="227"/>
      <c r="AK209" s="228"/>
    </row>
    <row r="210" spans="1:37" x14ac:dyDescent="0.25">
      <c r="A210" s="286" t="s">
        <v>214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0.99299999999999999</v>
      </c>
      <c r="AH210" s="226"/>
      <c r="AI210" s="227"/>
      <c r="AK210" s="228"/>
    </row>
    <row r="211" spans="1:37" x14ac:dyDescent="0.25">
      <c r="A211" s="286" t="s">
        <v>215</v>
      </c>
      <c r="B211" s="299"/>
      <c r="C211" s="297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</v>
      </c>
      <c r="AH211" s="226"/>
      <c r="AI211" s="227"/>
      <c r="AK211" s="228"/>
    </row>
    <row r="212" spans="1:37" ht="15.75" thickBot="1" x14ac:dyDescent="0.3">
      <c r="A212" s="286" t="s">
        <v>216</v>
      </c>
      <c r="B212" s="303"/>
      <c r="C212" s="304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2">
        <v>0.97899999999999998</v>
      </c>
      <c r="AH212" s="226"/>
      <c r="AI212" s="227"/>
      <c r="AK212" s="228"/>
    </row>
    <row r="213" spans="1:37" ht="15.75" thickBot="1" x14ac:dyDescent="0.3">
      <c r="A213" s="305" t="s">
        <v>217</v>
      </c>
      <c r="B213" s="306">
        <f>SUM(B108:B212)</f>
        <v>0</v>
      </c>
      <c r="C213" s="307">
        <f t="shared" ref="C213:AG213" si="25">SUM(C108:C212)</f>
        <v>0</v>
      </c>
      <c r="D213" s="307">
        <f t="shared" si="25"/>
        <v>0</v>
      </c>
      <c r="E213" s="307">
        <f t="shared" si="25"/>
        <v>0</v>
      </c>
      <c r="F213" s="307">
        <f t="shared" si="25"/>
        <v>0</v>
      </c>
      <c r="G213" s="307">
        <f t="shared" si="25"/>
        <v>0</v>
      </c>
      <c r="H213" s="307">
        <f t="shared" si="25"/>
        <v>0</v>
      </c>
      <c r="I213" s="307">
        <f t="shared" si="25"/>
        <v>0</v>
      </c>
      <c r="J213" s="307">
        <f t="shared" si="25"/>
        <v>0</v>
      </c>
      <c r="K213" s="307">
        <f t="shared" si="25"/>
        <v>0</v>
      </c>
      <c r="L213" s="307">
        <f t="shared" si="25"/>
        <v>0</v>
      </c>
      <c r="M213" s="307">
        <f t="shared" si="25"/>
        <v>0</v>
      </c>
      <c r="N213" s="307">
        <f t="shared" si="25"/>
        <v>0</v>
      </c>
      <c r="O213" s="307">
        <f t="shared" si="25"/>
        <v>0</v>
      </c>
      <c r="P213" s="307">
        <f t="shared" si="25"/>
        <v>0</v>
      </c>
      <c r="Q213" s="307">
        <f t="shared" si="25"/>
        <v>0</v>
      </c>
      <c r="R213" s="307">
        <f t="shared" si="25"/>
        <v>0</v>
      </c>
      <c r="S213" s="307">
        <f t="shared" si="25"/>
        <v>0</v>
      </c>
      <c r="T213" s="307">
        <f t="shared" si="25"/>
        <v>0</v>
      </c>
      <c r="U213" s="307">
        <f t="shared" si="25"/>
        <v>0</v>
      </c>
      <c r="V213" s="307">
        <f t="shared" si="25"/>
        <v>0</v>
      </c>
      <c r="W213" s="307">
        <f t="shared" si="25"/>
        <v>0</v>
      </c>
      <c r="X213" s="307">
        <f t="shared" si="25"/>
        <v>0</v>
      </c>
      <c r="Y213" s="307">
        <f t="shared" si="25"/>
        <v>0</v>
      </c>
      <c r="Z213" s="307">
        <f t="shared" si="25"/>
        <v>0</v>
      </c>
      <c r="AA213" s="307">
        <f t="shared" si="25"/>
        <v>0</v>
      </c>
      <c r="AB213" s="307">
        <f t="shared" si="25"/>
        <v>0</v>
      </c>
      <c r="AC213" s="307">
        <f t="shared" si="25"/>
        <v>0</v>
      </c>
      <c r="AD213" s="307">
        <f t="shared" si="25"/>
        <v>0</v>
      </c>
      <c r="AE213" s="307">
        <f t="shared" si="25"/>
        <v>0</v>
      </c>
      <c r="AF213" s="308">
        <f t="shared" si="25"/>
        <v>0</v>
      </c>
      <c r="AG213" s="309">
        <f t="shared" si="25"/>
        <v>412.72299999999984</v>
      </c>
      <c r="AH213" s="226"/>
      <c r="AI213" s="227"/>
      <c r="AK213" s="228"/>
    </row>
    <row r="214" spans="1:37" ht="15.75" thickBot="1" x14ac:dyDescent="0.3">
      <c r="A214" s="201" t="s">
        <v>63</v>
      </c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10"/>
      <c r="AG214" s="311"/>
      <c r="AH214" s="226"/>
      <c r="AI214" s="227"/>
      <c r="AK214" s="228"/>
    </row>
    <row r="215" spans="1:37" x14ac:dyDescent="0.25">
      <c r="A215" s="268" t="s">
        <v>218</v>
      </c>
      <c r="B215" s="312">
        <f t="shared" ref="B215:B220" si="26">AF215</f>
        <v>0</v>
      </c>
      <c r="C215" s="312">
        <v>0.3</v>
      </c>
      <c r="D215" s="312">
        <f t="shared" ref="D215:P220" si="27">C215</f>
        <v>0.3</v>
      </c>
      <c r="E215" s="312">
        <f t="shared" si="27"/>
        <v>0.3</v>
      </c>
      <c r="F215" s="312">
        <f t="shared" si="27"/>
        <v>0.3</v>
      </c>
      <c r="G215" s="312">
        <f t="shared" si="27"/>
        <v>0.3</v>
      </c>
      <c r="H215" s="312">
        <f t="shared" si="27"/>
        <v>0.3</v>
      </c>
      <c r="I215" s="312">
        <f t="shared" si="27"/>
        <v>0.3</v>
      </c>
      <c r="J215" s="312">
        <f t="shared" si="27"/>
        <v>0.3</v>
      </c>
      <c r="K215" s="312">
        <f t="shared" si="27"/>
        <v>0.3</v>
      </c>
      <c r="L215" s="312">
        <f t="shared" si="27"/>
        <v>0.3</v>
      </c>
      <c r="M215" s="312">
        <f t="shared" si="27"/>
        <v>0.3</v>
      </c>
      <c r="N215" s="312">
        <f t="shared" si="27"/>
        <v>0.3</v>
      </c>
      <c r="O215" s="312">
        <f t="shared" si="27"/>
        <v>0.3</v>
      </c>
      <c r="P215" s="312">
        <f t="shared" si="27"/>
        <v>0.3</v>
      </c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3">
        <v>2.4</v>
      </c>
      <c r="AH215" s="226"/>
      <c r="AI215" s="227"/>
      <c r="AK215" s="228"/>
    </row>
    <row r="216" spans="1:37" x14ac:dyDescent="0.25">
      <c r="A216" s="271" t="s">
        <v>219</v>
      </c>
      <c r="B216" s="299">
        <f t="shared" si="26"/>
        <v>0</v>
      </c>
      <c r="C216" s="299">
        <v>0.4</v>
      </c>
      <c r="D216" s="299">
        <f t="shared" si="27"/>
        <v>0.4</v>
      </c>
      <c r="E216" s="299">
        <f t="shared" si="27"/>
        <v>0.4</v>
      </c>
      <c r="F216" s="299">
        <f t="shared" si="27"/>
        <v>0.4</v>
      </c>
      <c r="G216" s="299">
        <f t="shared" si="27"/>
        <v>0.4</v>
      </c>
      <c r="H216" s="299">
        <f t="shared" si="27"/>
        <v>0.4</v>
      </c>
      <c r="I216" s="299">
        <f t="shared" si="27"/>
        <v>0.4</v>
      </c>
      <c r="J216" s="299">
        <f t="shared" si="27"/>
        <v>0.4</v>
      </c>
      <c r="K216" s="299">
        <f t="shared" si="27"/>
        <v>0.4</v>
      </c>
      <c r="L216" s="299">
        <f t="shared" si="27"/>
        <v>0.4</v>
      </c>
      <c r="M216" s="299">
        <f t="shared" si="27"/>
        <v>0.4</v>
      </c>
      <c r="N216" s="299">
        <f t="shared" si="27"/>
        <v>0.4</v>
      </c>
      <c r="O216" s="299">
        <f t="shared" si="27"/>
        <v>0.4</v>
      </c>
      <c r="P216" s="299">
        <f t="shared" si="27"/>
        <v>0.4</v>
      </c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  <c r="AB216" s="299"/>
      <c r="AC216" s="299"/>
      <c r="AD216" s="299"/>
      <c r="AE216" s="299"/>
      <c r="AF216" s="299"/>
      <c r="AG216" s="314">
        <v>2</v>
      </c>
      <c r="AH216" s="226"/>
      <c r="AI216" s="227"/>
      <c r="AK216" s="228"/>
    </row>
    <row r="217" spans="1:37" x14ac:dyDescent="0.25">
      <c r="A217" s="271" t="s">
        <v>220</v>
      </c>
      <c r="B217" s="299">
        <f t="shared" si="26"/>
        <v>0</v>
      </c>
      <c r="C217" s="299">
        <v>1.5</v>
      </c>
      <c r="D217" s="299">
        <f t="shared" si="27"/>
        <v>1.5</v>
      </c>
      <c r="E217" s="299">
        <f t="shared" si="27"/>
        <v>1.5</v>
      </c>
      <c r="F217" s="299">
        <f t="shared" si="27"/>
        <v>1.5</v>
      </c>
      <c r="G217" s="299">
        <f t="shared" si="27"/>
        <v>1.5</v>
      </c>
      <c r="H217" s="299">
        <f t="shared" si="27"/>
        <v>1.5</v>
      </c>
      <c r="I217" s="299">
        <f t="shared" si="27"/>
        <v>1.5</v>
      </c>
      <c r="J217" s="299">
        <f t="shared" si="27"/>
        <v>1.5</v>
      </c>
      <c r="K217" s="299">
        <f t="shared" si="27"/>
        <v>1.5</v>
      </c>
      <c r="L217" s="299">
        <f t="shared" si="27"/>
        <v>1.5</v>
      </c>
      <c r="M217" s="299">
        <f t="shared" si="27"/>
        <v>1.5</v>
      </c>
      <c r="N217" s="299">
        <f t="shared" si="27"/>
        <v>1.5</v>
      </c>
      <c r="O217" s="299">
        <f t="shared" si="27"/>
        <v>1.5</v>
      </c>
      <c r="P217" s="299">
        <f t="shared" si="27"/>
        <v>1.5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1.5</v>
      </c>
      <c r="AH217" s="226"/>
      <c r="AI217" s="227"/>
      <c r="AK217" s="228"/>
    </row>
    <row r="218" spans="1:37" x14ac:dyDescent="0.25">
      <c r="A218" s="271" t="s">
        <v>221</v>
      </c>
      <c r="B218" s="299">
        <f t="shared" si="26"/>
        <v>0</v>
      </c>
      <c r="C218" s="299">
        <v>0.3</v>
      </c>
      <c r="D218" s="299">
        <f t="shared" si="27"/>
        <v>0.3</v>
      </c>
      <c r="E218" s="299">
        <f t="shared" si="27"/>
        <v>0.3</v>
      </c>
      <c r="F218" s="299">
        <f t="shared" si="27"/>
        <v>0.3</v>
      </c>
      <c r="G218" s="299">
        <f t="shared" si="27"/>
        <v>0.3</v>
      </c>
      <c r="H218" s="299">
        <f t="shared" si="27"/>
        <v>0.3</v>
      </c>
      <c r="I218" s="299">
        <f t="shared" si="27"/>
        <v>0.3</v>
      </c>
      <c r="J218" s="299">
        <f t="shared" si="27"/>
        <v>0.3</v>
      </c>
      <c r="K218" s="299">
        <f t="shared" si="27"/>
        <v>0.3</v>
      </c>
      <c r="L218" s="299">
        <f t="shared" si="27"/>
        <v>0.3</v>
      </c>
      <c r="M218" s="299">
        <f t="shared" si="27"/>
        <v>0.3</v>
      </c>
      <c r="N218" s="299">
        <f t="shared" si="27"/>
        <v>0.3</v>
      </c>
      <c r="O218" s="299">
        <f t="shared" si="27"/>
        <v>0.3</v>
      </c>
      <c r="P218" s="299">
        <f t="shared" si="27"/>
        <v>0.3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</v>
      </c>
      <c r="AH218" s="226"/>
      <c r="AI218" s="227"/>
      <c r="AK218" s="228"/>
    </row>
    <row r="219" spans="1:37" x14ac:dyDescent="0.25">
      <c r="A219" s="271" t="s">
        <v>222</v>
      </c>
      <c r="B219" s="299">
        <f t="shared" si="26"/>
        <v>0</v>
      </c>
      <c r="C219" s="299">
        <v>0.4</v>
      </c>
      <c r="D219" s="299">
        <f t="shared" si="27"/>
        <v>0.4</v>
      </c>
      <c r="E219" s="299">
        <f t="shared" si="27"/>
        <v>0.4</v>
      </c>
      <c r="F219" s="299">
        <f t="shared" si="27"/>
        <v>0.4</v>
      </c>
      <c r="G219" s="299">
        <f t="shared" si="27"/>
        <v>0.4</v>
      </c>
      <c r="H219" s="299">
        <f t="shared" si="27"/>
        <v>0.4</v>
      </c>
      <c r="I219" s="299">
        <f t="shared" si="27"/>
        <v>0.4</v>
      </c>
      <c r="J219" s="299">
        <f t="shared" si="27"/>
        <v>0.4</v>
      </c>
      <c r="K219" s="299">
        <f t="shared" si="27"/>
        <v>0.4</v>
      </c>
      <c r="L219" s="299">
        <f t="shared" si="27"/>
        <v>0.4</v>
      </c>
      <c r="M219" s="299">
        <f t="shared" si="27"/>
        <v>0.4</v>
      </c>
      <c r="N219" s="299">
        <f t="shared" si="27"/>
        <v>0.4</v>
      </c>
      <c r="O219" s="299">
        <f t="shared" si="27"/>
        <v>0.4</v>
      </c>
      <c r="P219" s="299">
        <f t="shared" si="27"/>
        <v>0.4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ht="15.75" thickBot="1" x14ac:dyDescent="0.3">
      <c r="A220" s="286" t="s">
        <v>223</v>
      </c>
      <c r="B220" s="303">
        <f t="shared" si="26"/>
        <v>0</v>
      </c>
      <c r="C220" s="303">
        <v>0.64</v>
      </c>
      <c r="D220" s="303">
        <f t="shared" si="27"/>
        <v>0.64</v>
      </c>
      <c r="E220" s="303">
        <f t="shared" si="27"/>
        <v>0.64</v>
      </c>
      <c r="F220" s="303">
        <f t="shared" si="27"/>
        <v>0.64</v>
      </c>
      <c r="G220" s="303">
        <f t="shared" si="27"/>
        <v>0.64</v>
      </c>
      <c r="H220" s="303">
        <f t="shared" si="27"/>
        <v>0.64</v>
      </c>
      <c r="I220" s="303">
        <f t="shared" si="27"/>
        <v>0.64</v>
      </c>
      <c r="J220" s="303">
        <f t="shared" si="27"/>
        <v>0.64</v>
      </c>
      <c r="K220" s="303">
        <f t="shared" si="27"/>
        <v>0.64</v>
      </c>
      <c r="L220" s="303">
        <f t="shared" si="27"/>
        <v>0.64</v>
      </c>
      <c r="M220" s="303">
        <f t="shared" si="27"/>
        <v>0.64</v>
      </c>
      <c r="N220" s="303">
        <f t="shared" si="27"/>
        <v>0.64</v>
      </c>
      <c r="O220" s="303">
        <f t="shared" si="27"/>
        <v>0.64</v>
      </c>
      <c r="P220" s="303">
        <f t="shared" si="27"/>
        <v>0.64</v>
      </c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15">
        <v>0.66</v>
      </c>
      <c r="AH220" s="226"/>
      <c r="AI220" s="227"/>
    </row>
    <row r="221" spans="1:37" ht="15.75" thickBot="1" x14ac:dyDescent="0.3">
      <c r="A221" s="316" t="s">
        <v>63</v>
      </c>
      <c r="B221" s="307">
        <f>SUM(B215:B220)</f>
        <v>0</v>
      </c>
      <c r="C221" s="307">
        <f>SUM(C215:C220)</f>
        <v>3.54</v>
      </c>
      <c r="D221" s="307">
        <f t="shared" ref="D221:L221" si="28">SUM(D215:D220)</f>
        <v>3.54</v>
      </c>
      <c r="E221" s="307">
        <f t="shared" si="28"/>
        <v>3.54</v>
      </c>
      <c r="F221" s="307">
        <f t="shared" si="28"/>
        <v>3.54</v>
      </c>
      <c r="G221" s="307">
        <f t="shared" si="28"/>
        <v>3.54</v>
      </c>
      <c r="H221" s="307">
        <f t="shared" si="28"/>
        <v>3.54</v>
      </c>
      <c r="I221" s="307">
        <f t="shared" si="28"/>
        <v>3.54</v>
      </c>
      <c r="J221" s="307">
        <f t="shared" si="28"/>
        <v>3.54</v>
      </c>
      <c r="K221" s="307">
        <f t="shared" si="28"/>
        <v>3.54</v>
      </c>
      <c r="L221" s="307">
        <f t="shared" si="28"/>
        <v>3.54</v>
      </c>
      <c r="M221" s="307">
        <f>SUM(M215:M220)</f>
        <v>3.54</v>
      </c>
      <c r="N221" s="307">
        <f t="shared" ref="N221:S221" si="29">SUM(N215:N220)</f>
        <v>3.54</v>
      </c>
      <c r="O221" s="307">
        <f t="shared" si="29"/>
        <v>3.54</v>
      </c>
      <c r="P221" s="307">
        <f t="shared" si="29"/>
        <v>3.54</v>
      </c>
      <c r="Q221" s="307">
        <f t="shared" si="29"/>
        <v>0</v>
      </c>
      <c r="R221" s="307">
        <f t="shared" si="29"/>
        <v>0</v>
      </c>
      <c r="S221" s="307">
        <f t="shared" si="29"/>
        <v>0</v>
      </c>
      <c r="T221" s="307">
        <f>SUM(T215:T220)</f>
        <v>0</v>
      </c>
      <c r="U221" s="307">
        <f t="shared" ref="U221:AG221" si="30">SUM(U215:U220)</f>
        <v>0</v>
      </c>
      <c r="V221" s="307">
        <f t="shared" si="30"/>
        <v>0</v>
      </c>
      <c r="W221" s="307">
        <f t="shared" si="30"/>
        <v>0</v>
      </c>
      <c r="X221" s="307">
        <f t="shared" si="30"/>
        <v>0</v>
      </c>
      <c r="Y221" s="307">
        <f t="shared" si="30"/>
        <v>0</v>
      </c>
      <c r="Z221" s="307">
        <f t="shared" si="30"/>
        <v>0</v>
      </c>
      <c r="AA221" s="307">
        <f t="shared" si="30"/>
        <v>0</v>
      </c>
      <c r="AB221" s="307">
        <f t="shared" si="30"/>
        <v>0</v>
      </c>
      <c r="AC221" s="307">
        <f t="shared" si="30"/>
        <v>0</v>
      </c>
      <c r="AD221" s="307">
        <f t="shared" si="30"/>
        <v>0</v>
      </c>
      <c r="AE221" s="307">
        <f t="shared" si="30"/>
        <v>0</v>
      </c>
      <c r="AF221" s="307">
        <f t="shared" si="30"/>
        <v>0</v>
      </c>
      <c r="AG221" s="317">
        <f t="shared" si="30"/>
        <v>8.56</v>
      </c>
      <c r="AH221" s="226"/>
      <c r="AI221" s="227"/>
    </row>
    <row r="222" spans="1:37" ht="15.75" thickBot="1" x14ac:dyDescent="0.3"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310"/>
      <c r="AH222" s="219"/>
    </row>
    <row r="223" spans="1:37" x14ac:dyDescent="0.25">
      <c r="A223" s="318" t="s">
        <v>224</v>
      </c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20"/>
      <c r="AG223" s="219"/>
      <c r="AH223" s="226"/>
      <c r="AI223" s="227"/>
    </row>
    <row r="224" spans="1:37" x14ac:dyDescent="0.25">
      <c r="A224" s="321" t="s">
        <v>225</v>
      </c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3"/>
      <c r="AG224" s="324"/>
      <c r="AH224" s="226"/>
      <c r="AI224" s="227"/>
    </row>
    <row r="225" spans="1:50" x14ac:dyDescent="0.25">
      <c r="A225" s="325" t="s">
        <v>226</v>
      </c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7"/>
      <c r="AG225" s="324"/>
      <c r="AH225" s="226"/>
      <c r="AI225" s="227"/>
    </row>
    <row r="226" spans="1:50" x14ac:dyDescent="0.25">
      <c r="A226" s="325" t="s">
        <v>227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ht="15.75" thickBot="1" x14ac:dyDescent="0.3">
      <c r="A227" s="328" t="s">
        <v>228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30"/>
      <c r="AG227" s="324"/>
      <c r="AH227" s="226"/>
      <c r="AI227" s="227"/>
    </row>
    <row r="228" spans="1:50" x14ac:dyDescent="0.25"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</row>
    <row r="229" spans="1:50" x14ac:dyDescent="0.25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331" t="s">
        <v>229</v>
      </c>
      <c r="B230" s="332">
        <f>MAX(G79:N79)</f>
        <v>1702.44</v>
      </c>
      <c r="C230" s="333">
        <f>INDEX(G9:N9,1,MATCH(MAX(G79:N79),G79:N79,0))</f>
        <v>0.20833333333333301</v>
      </c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334" t="str">
        <f ca="1">MID(CELL("filename",C7),FIND("]",CELL("filename",C7))+1,600)</f>
        <v>25</v>
      </c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A232" s="402" t="s">
        <v>230</v>
      </c>
      <c r="B232" s="402"/>
      <c r="C232" s="219"/>
      <c r="D232" s="334" t="str">
        <f ca="1">"Pie Chart of Daily Peak Demand(Inclusive of Export) of Nepal ("&amp;A4&amp;" "&amp;B4&amp;")"</f>
        <v>Pie Chart of Daily Peak Demand(Inclusive of Export) of Nepal (Nepali Date: 2079/02/25)</v>
      </c>
      <c r="E232" s="219"/>
      <c r="F232" s="219"/>
      <c r="G232" s="334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"Daily Load Curve(Excluding of Export) of Nepal ("&amp;A4&amp;" "&amp;B4&amp;")"</f>
        <v>Daily Load Curve(Excluding of Export) of Nepal (Nepali Date: 2079/02/25)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ht="12.75" customHeight="1" thickBot="1" x14ac:dyDescent="0.3">
      <c r="A233" s="335" t="s">
        <v>7</v>
      </c>
      <c r="B233" s="336"/>
      <c r="C233" s="219"/>
      <c r="D233" s="337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5.75" thickTop="1" x14ac:dyDescent="0.25">
      <c r="A234" s="335" t="s">
        <v>231</v>
      </c>
      <c r="B234" s="336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338" t="s">
        <v>232</v>
      </c>
      <c r="T234" s="339">
        <v>0</v>
      </c>
      <c r="U234" s="340">
        <v>4.1666666666666664E-2</v>
      </c>
      <c r="V234" s="341">
        <v>8.3333333333333301E-2</v>
      </c>
      <c r="W234" s="341">
        <v>0.125</v>
      </c>
      <c r="X234" s="341">
        <v>0.16666666666666699</v>
      </c>
      <c r="Y234" s="341">
        <v>0.20833333333333301</v>
      </c>
      <c r="Z234" s="341">
        <v>0.22916666666666666</v>
      </c>
      <c r="AA234" s="341">
        <v>0.25</v>
      </c>
      <c r="AB234" s="341">
        <v>0.27083333333333331</v>
      </c>
      <c r="AC234" s="341">
        <v>0.29166666666666669</v>
      </c>
      <c r="AD234" s="341">
        <v>0.3125</v>
      </c>
      <c r="AE234" s="342">
        <v>0.33333333333333331</v>
      </c>
      <c r="AF234" s="342">
        <v>0.375</v>
      </c>
      <c r="AG234" s="342">
        <v>0.41666666666666702</v>
      </c>
      <c r="AH234" s="342">
        <v>0.45833333333333298</v>
      </c>
      <c r="AI234" s="342">
        <v>0.5</v>
      </c>
      <c r="AJ234" s="342">
        <v>0.54166666666666696</v>
      </c>
      <c r="AK234" s="342">
        <v>0.58333333333333304</v>
      </c>
      <c r="AL234" s="342">
        <v>0.625</v>
      </c>
      <c r="AM234" s="342">
        <v>0.66666666666666696</v>
      </c>
      <c r="AN234" s="342">
        <v>0.70833333333333304</v>
      </c>
      <c r="AO234" s="342">
        <v>0.72916666666666663</v>
      </c>
      <c r="AP234" s="342">
        <v>0.75</v>
      </c>
      <c r="AQ234" s="342">
        <v>0.77083333333333337</v>
      </c>
      <c r="AR234" s="342">
        <v>0.79166666666666663</v>
      </c>
      <c r="AS234" s="342">
        <v>0.8125</v>
      </c>
      <c r="AT234" s="341">
        <v>0.83333333333333337</v>
      </c>
      <c r="AU234" s="341">
        <v>0.85416666666666663</v>
      </c>
      <c r="AV234" s="341">
        <v>0.875</v>
      </c>
      <c r="AW234" s="341">
        <v>0.91666666666666696</v>
      </c>
      <c r="AX234" s="341">
        <v>0.95833333333333304</v>
      </c>
    </row>
    <row r="235" spans="1:50" x14ac:dyDescent="0.25">
      <c r="A235" s="335" t="s">
        <v>233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 t="s">
        <v>234</v>
      </c>
      <c r="T235" s="343">
        <f t="shared" ref="T235:AX235" si="31">B79</f>
        <v>1762.24</v>
      </c>
      <c r="U235" s="343">
        <f t="shared" si="31"/>
        <v>1773.6399999999999</v>
      </c>
      <c r="V235" s="343">
        <f t="shared" si="31"/>
        <v>1743.54</v>
      </c>
      <c r="W235" s="343">
        <f t="shared" si="31"/>
        <v>1711.64</v>
      </c>
      <c r="X235" s="343">
        <f t="shared" si="31"/>
        <v>1706.44</v>
      </c>
      <c r="Y235" s="343">
        <f t="shared" si="31"/>
        <v>1702.44</v>
      </c>
      <c r="Z235" s="343">
        <f t="shared" si="31"/>
        <v>1682.44</v>
      </c>
      <c r="AA235" s="343">
        <f t="shared" si="31"/>
        <v>1666.44</v>
      </c>
      <c r="AB235" s="343">
        <f t="shared" si="31"/>
        <v>1656.7399999999998</v>
      </c>
      <c r="AC235" s="343">
        <f t="shared" si="31"/>
        <v>1648.84</v>
      </c>
      <c r="AD235" s="343">
        <f t="shared" si="31"/>
        <v>1660.84</v>
      </c>
      <c r="AE235" s="343">
        <f t="shared" si="31"/>
        <v>1697.04</v>
      </c>
      <c r="AF235" s="343">
        <f t="shared" si="31"/>
        <v>1693.04</v>
      </c>
      <c r="AG235" s="343">
        <f t="shared" si="31"/>
        <v>1702.44</v>
      </c>
      <c r="AH235" s="343">
        <f t="shared" si="31"/>
        <v>1610.54</v>
      </c>
      <c r="AI235" s="343">
        <f t="shared" si="31"/>
        <v>1593.3400000000001</v>
      </c>
      <c r="AJ235" s="343">
        <f t="shared" si="31"/>
        <v>1710.44</v>
      </c>
      <c r="AK235" s="343">
        <f t="shared" si="31"/>
        <v>1691.3400000000001</v>
      </c>
      <c r="AL235" s="343">
        <f t="shared" si="31"/>
        <v>1705.8400000000001</v>
      </c>
      <c r="AM235" s="343">
        <f t="shared" si="31"/>
        <v>1653.8400000000001</v>
      </c>
      <c r="AN235" s="343">
        <f t="shared" si="31"/>
        <v>1653.8400000000001</v>
      </c>
      <c r="AO235" s="343">
        <f t="shared" si="31"/>
        <v>1675.8400000000001</v>
      </c>
      <c r="AP235" s="343">
        <f t="shared" si="31"/>
        <v>1701.8400000000001</v>
      </c>
      <c r="AQ235" s="343">
        <f t="shared" si="31"/>
        <v>1768.8400000000001</v>
      </c>
      <c r="AR235" s="343">
        <f t="shared" si="31"/>
        <v>1830.1399999999999</v>
      </c>
      <c r="AS235" s="343">
        <f t="shared" si="31"/>
        <v>1806.1399999999999</v>
      </c>
      <c r="AT235" s="343">
        <f t="shared" si="31"/>
        <v>1747.54</v>
      </c>
      <c r="AU235" s="343">
        <f t="shared" si="31"/>
        <v>1747.44</v>
      </c>
      <c r="AV235" s="343">
        <f t="shared" si="31"/>
        <v>1745.8400000000001</v>
      </c>
      <c r="AW235" s="343">
        <f t="shared" si="31"/>
        <v>1794.94</v>
      </c>
      <c r="AX235" s="343">
        <f t="shared" si="31"/>
        <v>1688.34</v>
      </c>
    </row>
    <row r="236" spans="1:50" x14ac:dyDescent="0.25">
      <c r="A236" s="335" t="s">
        <v>235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</row>
    <row r="237" spans="1:50" x14ac:dyDescent="0.25">
      <c r="A237" s="335" t="s">
        <v>236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237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238</v>
      </c>
      <c r="B239" s="344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239</v>
      </c>
      <c r="B240" s="336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J247" s="176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A256" s="345" t="s">
        <v>224</v>
      </c>
      <c r="B256" s="346">
        <f t="shared" ref="B256:AE256" si="32">C220</f>
        <v>0.64</v>
      </c>
      <c r="C256" s="346">
        <f t="shared" si="32"/>
        <v>0.64</v>
      </c>
      <c r="D256" s="346">
        <f t="shared" si="32"/>
        <v>0.64</v>
      </c>
      <c r="E256" s="346">
        <f t="shared" si="32"/>
        <v>0.64</v>
      </c>
      <c r="F256" s="346">
        <f t="shared" si="32"/>
        <v>0.64</v>
      </c>
      <c r="G256" s="346">
        <f t="shared" si="32"/>
        <v>0.64</v>
      </c>
      <c r="H256" s="346">
        <f t="shared" si="32"/>
        <v>0.64</v>
      </c>
      <c r="I256" s="346">
        <f t="shared" si="32"/>
        <v>0.64</v>
      </c>
      <c r="J256" s="346">
        <f t="shared" si="32"/>
        <v>0.64</v>
      </c>
      <c r="K256" s="346">
        <f t="shared" si="32"/>
        <v>0.64</v>
      </c>
      <c r="L256" s="346">
        <f t="shared" si="32"/>
        <v>0.64</v>
      </c>
      <c r="M256" s="346">
        <f t="shared" si="32"/>
        <v>0.64</v>
      </c>
      <c r="N256" s="346">
        <f t="shared" si="32"/>
        <v>0.64</v>
      </c>
      <c r="O256" s="346">
        <f t="shared" si="32"/>
        <v>0.64</v>
      </c>
      <c r="P256" s="346">
        <f t="shared" si="32"/>
        <v>0</v>
      </c>
      <c r="Q256" s="346">
        <f t="shared" si="32"/>
        <v>0</v>
      </c>
      <c r="R256" s="346">
        <f t="shared" si="32"/>
        <v>0</v>
      </c>
      <c r="S256" s="346">
        <f t="shared" si="32"/>
        <v>0</v>
      </c>
      <c r="T256" s="346">
        <f t="shared" si="32"/>
        <v>0</v>
      </c>
      <c r="U256" s="346">
        <f t="shared" si="32"/>
        <v>0</v>
      </c>
      <c r="V256" s="346">
        <f t="shared" si="32"/>
        <v>0</v>
      </c>
      <c r="W256" s="346">
        <f t="shared" si="32"/>
        <v>0</v>
      </c>
      <c r="X256" s="346">
        <f t="shared" si="32"/>
        <v>0</v>
      </c>
      <c r="Y256" s="346">
        <f t="shared" si="32"/>
        <v>0</v>
      </c>
      <c r="Z256" s="346">
        <f t="shared" si="32"/>
        <v>0</v>
      </c>
      <c r="AA256" s="346">
        <f t="shared" si="32"/>
        <v>0</v>
      </c>
      <c r="AB256" s="346">
        <f t="shared" si="32"/>
        <v>0</v>
      </c>
      <c r="AC256" s="346">
        <f t="shared" si="32"/>
        <v>0</v>
      </c>
      <c r="AD256" s="346">
        <f t="shared" si="32"/>
        <v>0</v>
      </c>
      <c r="AE256" s="346">
        <f t="shared" si="32"/>
        <v>0</v>
      </c>
      <c r="AF256" s="346">
        <f>B220</f>
        <v>0</v>
      </c>
      <c r="AG256" s="219"/>
      <c r="AH256" s="219"/>
      <c r="AJ256" s="176"/>
    </row>
    <row r="257" spans="1:36" x14ac:dyDescent="0.25">
      <c r="A257" s="347" t="str">
        <f>A224</f>
        <v>KGA</v>
      </c>
      <c r="B257" s="347" t="str">
        <f>IF(B224&lt;100,"",B224-520)</f>
        <v/>
      </c>
      <c r="C257" s="347" t="str">
        <f t="shared" ref="C257:AF257" si="33">IF(C224&lt;100,"",C224-520)</f>
        <v/>
      </c>
      <c r="D257" s="347" t="str">
        <f t="shared" si="33"/>
        <v/>
      </c>
      <c r="E257" s="347" t="str">
        <f t="shared" si="33"/>
        <v/>
      </c>
      <c r="F257" s="347" t="str">
        <f t="shared" si="33"/>
        <v/>
      </c>
      <c r="G257" s="347" t="str">
        <f t="shared" si="33"/>
        <v/>
      </c>
      <c r="H257" s="347" t="str">
        <f t="shared" si="33"/>
        <v/>
      </c>
      <c r="I257" s="347" t="str">
        <f t="shared" si="33"/>
        <v/>
      </c>
      <c r="J257" s="347" t="str">
        <f t="shared" si="33"/>
        <v/>
      </c>
      <c r="K257" s="347" t="str">
        <f t="shared" si="33"/>
        <v/>
      </c>
      <c r="L257" s="347" t="str">
        <f t="shared" si="33"/>
        <v/>
      </c>
      <c r="M257" s="347" t="str">
        <f t="shared" si="33"/>
        <v/>
      </c>
      <c r="N257" s="347" t="str">
        <f t="shared" si="33"/>
        <v/>
      </c>
      <c r="O257" s="347" t="str">
        <f t="shared" si="33"/>
        <v/>
      </c>
      <c r="P257" s="347" t="str">
        <f t="shared" si="33"/>
        <v/>
      </c>
      <c r="Q257" s="347" t="str">
        <f t="shared" si="33"/>
        <v/>
      </c>
      <c r="R257" s="347" t="str">
        <f t="shared" si="33"/>
        <v/>
      </c>
      <c r="S257" s="347" t="str">
        <f t="shared" si="33"/>
        <v/>
      </c>
      <c r="T257" s="347" t="str">
        <f t="shared" si="33"/>
        <v/>
      </c>
      <c r="U257" s="347" t="str">
        <f t="shared" si="33"/>
        <v/>
      </c>
      <c r="V257" s="347" t="str">
        <f t="shared" si="33"/>
        <v/>
      </c>
      <c r="W257" s="347" t="str">
        <f t="shared" si="33"/>
        <v/>
      </c>
      <c r="X257" s="347" t="str">
        <f t="shared" si="33"/>
        <v/>
      </c>
      <c r="Y257" s="347" t="str">
        <f t="shared" si="33"/>
        <v/>
      </c>
      <c r="Z257" s="347" t="str">
        <f t="shared" si="33"/>
        <v/>
      </c>
      <c r="AA257" s="347" t="str">
        <f t="shared" si="33"/>
        <v/>
      </c>
      <c r="AB257" s="347" t="str">
        <f t="shared" si="33"/>
        <v/>
      </c>
      <c r="AC257" s="347" t="str">
        <f t="shared" si="33"/>
        <v/>
      </c>
      <c r="AD257" s="347" t="str">
        <f t="shared" si="33"/>
        <v/>
      </c>
      <c r="AE257" s="347" t="str">
        <f t="shared" si="33"/>
        <v/>
      </c>
      <c r="AF257" s="347" t="str">
        <f t="shared" si="33"/>
        <v/>
      </c>
      <c r="AG257" s="219"/>
      <c r="AH257" s="219"/>
      <c r="AJ257" s="176"/>
    </row>
    <row r="258" spans="1:36" x14ac:dyDescent="0.25">
      <c r="A258" s="347" t="str">
        <f>A225</f>
        <v>MMRS</v>
      </c>
      <c r="B258" s="347" t="str">
        <f t="shared" ref="B258:AF258" si="34">IF(B225&lt;100,"",B225-620)</f>
        <v/>
      </c>
      <c r="C258" s="347" t="str">
        <f t="shared" si="34"/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MRS</v>
      </c>
      <c r="B259" s="347" t="str">
        <f t="shared" ref="B259:AF259" si="35">IF(B226&lt;100,"",B226-330)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KL 1</v>
      </c>
      <c r="B260" s="347" t="str">
        <f>IF(B227&lt;100,"",B227-1500)</f>
        <v/>
      </c>
      <c r="C260" s="347" t="str">
        <f t="shared" ref="C260:AF260" si="36">IF(C227&lt;100,"",C227-1500)</f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J267" s="176"/>
    </row>
    <row r="491" spans="36:38" x14ac:dyDescent="0.25">
      <c r="AK491" s="175"/>
    </row>
    <row r="492" spans="36:38" x14ac:dyDescent="0.25">
      <c r="AK492" s="175"/>
      <c r="AL492" s="175"/>
    </row>
    <row r="493" spans="36:38" x14ac:dyDescent="0.25">
      <c r="AJ493" s="176"/>
    </row>
  </sheetData>
  <mergeCells count="48">
    <mergeCell ref="A232:B23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D215:AF221 B215:B221 B213:AF213 U234:AF234 B9:AF10 C99:AF105">
    <cfRule type="expression" dxfId="2549" priority="232">
      <formula>B$9&gt;=20/24</formula>
    </cfRule>
    <cfRule type="expression" dxfId="2548" priority="233">
      <formula>AND(B$9&gt;=14/24,B$9&lt;20/24)</formula>
    </cfRule>
    <cfRule type="expression" dxfId="2547" priority="234">
      <formula>AND(B$9&gt;=8/24,B$9&lt;14/24)</formula>
    </cfRule>
    <cfRule type="expression" dxfId="2546" priority="235">
      <formula>B$9&lt;8/24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2545" priority="227">
      <formula>AB$9&gt;=20/24</formula>
    </cfRule>
    <cfRule type="expression" dxfId="2544" priority="228">
      <formula>AND(AB$9&gt;=14/24,AB$9&lt;20/24)</formula>
    </cfRule>
    <cfRule type="expression" dxfId="2543" priority="229">
      <formula>AND(AB$9&gt;=8/24,AB$9&lt;14/24)</formula>
    </cfRule>
    <cfRule type="expression" dxfId="2542" priority="230">
      <formula>AB$9&lt;8/24</formula>
    </cfRule>
  </conditionalFormatting>
  <conditionalFormatting sqref="AG55 AB37:AF37 E11:H15 B12:D15 B16:H16 G14:K14 B35:AF35 I12:AF16">
    <cfRule type="expression" dxfId="2541" priority="226">
      <formula>B11&gt;$AG11</formula>
    </cfRule>
  </conditionalFormatting>
  <conditionalFormatting sqref="A89:A102 A11:A14 A49:A76 A85:A87 A191:A221 A16:A30 A36:A47 A107:A178 A32:A33 A81:A83 A78:A79">
    <cfRule type="expression" dxfId="2540" priority="225">
      <formula>$AH11=0</formula>
    </cfRule>
  </conditionalFormatting>
  <conditionalFormatting sqref="A103">
    <cfRule type="expression" dxfId="2539" priority="224">
      <formula>$AH103=0</formula>
    </cfRule>
  </conditionalFormatting>
  <conditionalFormatting sqref="AL3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538" priority="222">
      <formula>$AH35=0</formula>
    </cfRule>
  </conditionalFormatting>
  <conditionalFormatting sqref="A88">
    <cfRule type="expression" dxfId="2537" priority="221">
      <formula>$AH88=0</formula>
    </cfRule>
  </conditionalFormatting>
  <conditionalFormatting sqref="A15">
    <cfRule type="expression" dxfId="2536" priority="220">
      <formula>$AH15=0</formula>
    </cfRule>
  </conditionalFormatting>
  <conditionalFormatting sqref="A185:A190">
    <cfRule type="expression" dxfId="2535" priority="219">
      <formula>$AH185=0</formula>
    </cfRule>
  </conditionalFormatting>
  <conditionalFormatting sqref="A179:A184">
    <cfRule type="expression" dxfId="2534" priority="218">
      <formula>$AH179=0</formula>
    </cfRule>
  </conditionalFormatting>
  <conditionalFormatting sqref="A48">
    <cfRule type="expression" dxfId="2533" priority="217">
      <formula>$AH48=0</formula>
    </cfRule>
  </conditionalFormatting>
  <conditionalFormatting sqref="A84">
    <cfRule type="expression" dxfId="2532" priority="216">
      <formula>$AH84=0</formula>
    </cfRule>
  </conditionalFormatting>
  <conditionalFormatting sqref="C89:AF89">
    <cfRule type="expression" dxfId="2531" priority="212">
      <formula>C$9&gt;=20/24</formula>
    </cfRule>
    <cfRule type="expression" dxfId="2530" priority="213">
      <formula>AND(C$9&gt;=14/24,C$9&lt;20/24)</formula>
    </cfRule>
    <cfRule type="expression" dxfId="2529" priority="214">
      <formula>AND(C$9&gt;=8/24,C$9&lt;14/24)</formula>
    </cfRule>
    <cfRule type="expression" dxfId="2528" priority="215">
      <formula>C$9&lt;8/24</formula>
    </cfRule>
  </conditionalFormatting>
  <conditionalFormatting sqref="AL34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527" priority="238">
      <formula>C$9&gt;=20/24</formula>
    </cfRule>
    <cfRule type="expression" dxfId="2526" priority="239">
      <formula>AND(C$9&gt;=14/24,C$9&lt;20/24)</formula>
    </cfRule>
    <cfRule type="expression" dxfId="2525" priority="240">
      <formula>AND(C$9&gt;=8/24,C$9&lt;14/24)</formula>
    </cfRule>
    <cfRule type="expression" dxfId="2524" priority="241">
      <formula>C$9&lt;8/24</formula>
    </cfRule>
  </conditionalFormatting>
  <conditionalFormatting sqref="A222">
    <cfRule type="expression" dxfId="2523" priority="242">
      <formula>$AH222=0</formula>
    </cfRule>
  </conditionalFormatting>
  <conditionalFormatting sqref="AG234">
    <cfRule type="expression" dxfId="2522" priority="243">
      <formula>B$9&gt;=20/24</formula>
    </cfRule>
    <cfRule type="expression" dxfId="2521" priority="244">
      <formula>AND(B$9&gt;=14/24,B$9&lt;20/24)</formula>
    </cfRule>
    <cfRule type="expression" dxfId="2520" priority="245">
      <formula>AND(B$9&gt;=8/24,B$9&lt;14/24)</formula>
    </cfRule>
    <cfRule type="expression" dxfId="2519" priority="246">
      <formula>B$9&lt;8/24</formula>
    </cfRule>
  </conditionalFormatting>
  <conditionalFormatting sqref="S8">
    <cfRule type="expression" dxfId="2518" priority="207">
      <formula>U$9&gt;=20/24</formula>
    </cfRule>
    <cfRule type="expression" dxfId="2517" priority="208">
      <formula>AND(U$9&gt;=14/24,U$9&lt;20/24)</formula>
    </cfRule>
    <cfRule type="expression" dxfId="2516" priority="209">
      <formula>AND(U$9&gt;=8/24,U$9&lt;14/24)</formula>
    </cfRule>
    <cfRule type="expression" dxfId="2515" priority="210">
      <formula>U$9&lt;8/24</formula>
    </cfRule>
  </conditionalFormatting>
  <conditionalFormatting sqref="AB8">
    <cfRule type="expression" dxfId="2514" priority="203">
      <formula>AD$9&gt;=20/24</formula>
    </cfRule>
    <cfRule type="expression" dxfId="2513" priority="204">
      <formula>AND(AD$9&gt;=14/24,AD$9&lt;20/24)</formula>
    </cfRule>
    <cfRule type="expression" dxfId="2512" priority="205">
      <formula>AND(AD$9&gt;=8/24,AD$9&lt;14/24)</formula>
    </cfRule>
    <cfRule type="expression" dxfId="2511" priority="206">
      <formula>AD$9&lt;8/24</formula>
    </cfRule>
  </conditionalFormatting>
  <conditionalFormatting sqref="AH234:AX234">
    <cfRule type="expression" dxfId="2510" priority="247">
      <formula>AG$9&gt;=20/24</formula>
    </cfRule>
    <cfRule type="expression" dxfId="2509" priority="248">
      <formula>AND(AG$9&gt;=14/24,AG$9&lt;20/24)</formula>
    </cfRule>
    <cfRule type="expression" dxfId="2508" priority="249">
      <formula>AND(AG$9&gt;=8/24,AG$9&lt;14/24)</formula>
    </cfRule>
    <cfRule type="expression" dxfId="2507" priority="250">
      <formula>AG$9&lt;8/24</formula>
    </cfRule>
  </conditionalFormatting>
  <conditionalFormatting sqref="T234">
    <cfRule type="expression" dxfId="2506" priority="251">
      <formula>AX$9&gt;=20/24</formula>
    </cfRule>
    <cfRule type="expression" dxfId="2505" priority="252">
      <formula>AND(AX$9&gt;=14/24,AX$9&lt;20/24)</formula>
    </cfRule>
    <cfRule type="expression" dxfId="2504" priority="253">
      <formula>AND(AX$9&gt;=8/24,AX$9&lt;14/24)</formula>
    </cfRule>
    <cfRule type="expression" dxfId="2503" priority="254">
      <formula>AX$9&lt;8/24</formula>
    </cfRule>
  </conditionalFormatting>
  <conditionalFormatting sqref="A104:A105">
    <cfRule type="expression" dxfId="2502" priority="202">
      <formula>$AH104=0</formula>
    </cfRule>
  </conditionalFormatting>
  <conditionalFormatting sqref="E44:L45 C61:AF61 I11:AF11 T44:AF45">
    <cfRule type="expression" dxfId="2501" priority="198">
      <formula>C$9&gt;=20/24</formula>
    </cfRule>
    <cfRule type="expression" dxfId="2500" priority="199">
      <formula>AND(C$9&gt;=14/24,C$9&lt;20/24)</formula>
    </cfRule>
    <cfRule type="expression" dxfId="2499" priority="200">
      <formula>AND(C$9&gt;=8/24,C$9&lt;14/24)</formula>
    </cfRule>
    <cfRule type="expression" dxfId="2498" priority="201">
      <formula>C$9&lt;8/24</formula>
    </cfRule>
  </conditionalFormatting>
  <conditionalFormatting sqref="E43:L43 T43:AF43">
    <cfRule type="expression" dxfId="2497" priority="194">
      <formula>E$9&gt;=20/24</formula>
    </cfRule>
    <cfRule type="expression" dxfId="2496" priority="195">
      <formula>AND(E$9&gt;=14/24,E$9&lt;20/24)</formula>
    </cfRule>
    <cfRule type="expression" dxfId="2495" priority="196">
      <formula>AND(E$9&gt;=8/24,E$9&lt;14/24)</formula>
    </cfRule>
    <cfRule type="expression" dxfId="2494" priority="197">
      <formula>E$9&lt;8/24</formula>
    </cfRule>
  </conditionalFormatting>
  <conditionalFormatting sqref="E43:L45 I11:AF11 T43:AF45">
    <cfRule type="expression" dxfId="2493" priority="193">
      <formula>E11&gt;$AG11</formula>
    </cfRule>
  </conditionalFormatting>
  <conditionalFormatting sqref="C86:AF86 C73:AF76 C62:D63 C90:AF96 S29:AF29 F57:AF59 E62:AF71">
    <cfRule type="expression" dxfId="2492" priority="189">
      <formula>C$9&gt;=20/24</formula>
    </cfRule>
    <cfRule type="expression" dxfId="2491" priority="190">
      <formula>AND(C$9&gt;=14/24,C$9&lt;20/24)</formula>
    </cfRule>
    <cfRule type="expression" dxfId="2490" priority="191">
      <formula>AND(C$9&gt;=8/24,C$9&lt;14/24)</formula>
    </cfRule>
    <cfRule type="expression" dxfId="2489" priority="192">
      <formula>C$9&lt;8/24</formula>
    </cfRule>
  </conditionalFormatting>
  <conditionalFormatting sqref="C55:AF55 E46:L47 C37:AA37 S29:AF29 AC46:AF47 F57:AF59">
    <cfRule type="expression" dxfId="2488" priority="184">
      <formula>C29&gt;$AG29</formula>
    </cfRule>
  </conditionalFormatting>
  <conditionalFormatting sqref="Y46:AB47">
    <cfRule type="expression" dxfId="2487" priority="163">
      <formula>Y$9&gt;=20/24</formula>
    </cfRule>
    <cfRule type="expression" dxfId="2486" priority="164">
      <formula>AND(Y$9&gt;=14/24,Y$9&lt;20/24)</formula>
    </cfRule>
    <cfRule type="expression" dxfId="2485" priority="165">
      <formula>AND(Y$9&gt;=8/24,Y$9&lt;14/24)</formula>
    </cfRule>
    <cfRule type="expression" dxfId="2484" priority="166">
      <formula>Y$9&lt;8/24</formula>
    </cfRule>
  </conditionalFormatting>
  <conditionalFormatting sqref="Y46:AB47">
    <cfRule type="expression" dxfId="2483" priority="162">
      <formula>Y46&gt;$AG46</formula>
    </cfRule>
  </conditionalFormatting>
  <conditionalFormatting sqref="M43:S54 T46:X54 Y48:AF54">
    <cfRule type="expression" dxfId="2482" priority="158">
      <formula>M$9&gt;=20/24</formula>
    </cfRule>
    <cfRule type="expression" dxfId="2481" priority="159">
      <formula>AND(M$9&gt;=14/24,M$9&lt;20/24)</formula>
    </cfRule>
    <cfRule type="expression" dxfId="2480" priority="160">
      <formula>AND(M$9&gt;=8/24,M$9&lt;14/24)</formula>
    </cfRule>
    <cfRule type="expression" dxfId="2479" priority="161">
      <formula>M$9&lt;8/24</formula>
    </cfRule>
  </conditionalFormatting>
  <conditionalFormatting sqref="M43:S54 T46:X54 Y48:AF54">
    <cfRule type="expression" dxfId="2478" priority="157">
      <formula>M43&gt;$AG43</formula>
    </cfRule>
  </conditionalFormatting>
  <conditionalFormatting sqref="E11:H11">
    <cfRule type="expression" dxfId="2477" priority="149">
      <formula>E$9&gt;=20/24</formula>
    </cfRule>
    <cfRule type="expression" dxfId="2476" priority="150">
      <formula>AND(E$9&gt;=14/24,E$9&lt;20/24)</formula>
    </cfRule>
    <cfRule type="expression" dxfId="2475" priority="151">
      <formula>AND(E$9&gt;=8/24,E$9&lt;14/24)</formula>
    </cfRule>
    <cfRule type="expression" dxfId="2474" priority="152">
      <formula>E$9&lt;8/24</formula>
    </cfRule>
  </conditionalFormatting>
  <conditionalFormatting sqref="E48:L52 E54:L54">
    <cfRule type="expression" dxfId="2473" priority="113">
      <formula>E$9&gt;=20/24</formula>
    </cfRule>
    <cfRule type="expression" dxfId="2472" priority="114">
      <formula>AND(E$9&gt;=14/24,E$9&lt;20/24)</formula>
    </cfRule>
    <cfRule type="expression" dxfId="2471" priority="115">
      <formula>AND(E$9&gt;=8/24,E$9&lt;14/24)</formula>
    </cfRule>
    <cfRule type="expression" dxfId="2470" priority="116">
      <formula>E$9&lt;8/24</formula>
    </cfRule>
  </conditionalFormatting>
  <conditionalFormatting sqref="E48:L52 E54:L54">
    <cfRule type="expression" dxfId="2469" priority="112">
      <formula>E48&gt;$AG48</formula>
    </cfRule>
  </conditionalFormatting>
  <conditionalFormatting sqref="B99:B105 B78:AF78 B87:AF87 B11:D11">
    <cfRule type="expression" dxfId="2468" priority="99">
      <formula>B$9&gt;=20/24</formula>
    </cfRule>
    <cfRule type="expression" dxfId="2467" priority="100">
      <formula>AND(B$9&gt;=14/24,B$9&lt;20/24)</formula>
    </cfRule>
    <cfRule type="expression" dxfId="2466" priority="101">
      <formula>AND(B$9&gt;=8/24,B$9&lt;14/24)</formula>
    </cfRule>
    <cfRule type="expression" dxfId="2465" priority="102">
      <formula>B$9&lt;8/24</formula>
    </cfRule>
  </conditionalFormatting>
  <conditionalFormatting sqref="B37">
    <cfRule type="expression" dxfId="2464" priority="95">
      <formula>B$9&gt;=20/24</formula>
    </cfRule>
    <cfRule type="expression" dxfId="2463" priority="96">
      <formula>AND(B$9&gt;=14/24,B$9&lt;20/24)</formula>
    </cfRule>
    <cfRule type="expression" dxfId="2462" priority="97">
      <formula>AND(B$9&gt;=8/24,B$9&lt;14/24)</formula>
    </cfRule>
    <cfRule type="expression" dxfId="2461" priority="98">
      <formula>B$9&lt;8/24</formula>
    </cfRule>
  </conditionalFormatting>
  <conditionalFormatting sqref="B37 B11:D11">
    <cfRule type="expression" dxfId="2460" priority="94">
      <formula>B11&gt;$AG11</formula>
    </cfRule>
  </conditionalFormatting>
  <conditionalFormatting sqref="B89">
    <cfRule type="expression" dxfId="2459" priority="90">
      <formula>B$9&gt;=20/24</formula>
    </cfRule>
    <cfRule type="expression" dxfId="2458" priority="91">
      <formula>AND(B$9&gt;=14/24,B$9&lt;20/24)</formula>
    </cfRule>
    <cfRule type="expression" dxfId="2457" priority="92">
      <formula>AND(B$9&gt;=8/24,B$9&lt;14/24)</formula>
    </cfRule>
    <cfRule type="expression" dxfId="2456" priority="93">
      <formula>B$9&lt;8/24</formula>
    </cfRule>
  </conditionalFormatting>
  <conditionalFormatting sqref="B61 B44:D45 B36:AF36">
    <cfRule type="expression" dxfId="2455" priority="86">
      <formula>B$9&gt;=20/24</formula>
    </cfRule>
    <cfRule type="expression" dxfId="2454" priority="87">
      <formula>AND(B$9&gt;=14/24,B$9&lt;20/24)</formula>
    </cfRule>
    <cfRule type="expression" dxfId="2453" priority="88">
      <formula>AND(B$9&gt;=8/24,B$9&lt;14/24)</formula>
    </cfRule>
    <cfRule type="expression" dxfId="2452" priority="89">
      <formula>B$9&lt;8/24</formula>
    </cfRule>
  </conditionalFormatting>
  <conditionalFormatting sqref="B43:D43">
    <cfRule type="expression" dxfId="2451" priority="82">
      <formula>B$9&gt;=20/24</formula>
    </cfRule>
    <cfRule type="expression" dxfId="2450" priority="83">
      <formula>AND(B$9&gt;=14/24,B$9&lt;20/24)</formula>
    </cfRule>
    <cfRule type="expression" dxfId="2449" priority="84">
      <formula>AND(B$9&gt;=8/24,B$9&lt;14/24)</formula>
    </cfRule>
    <cfRule type="expression" dxfId="2448" priority="85">
      <formula>B$9&lt;8/24</formula>
    </cfRule>
  </conditionalFormatting>
  <conditionalFormatting sqref="B43:D45 B36:AF36">
    <cfRule type="expression" dxfId="2447" priority="81">
      <formula>B36&gt;$AG36</formula>
    </cfRule>
  </conditionalFormatting>
  <conditionalFormatting sqref="B90:B96 B57:B60 B62:B71 B73:B77 B79:AF79 B86 C60:AG60 C77:AG77 B88:AF88 C57:E59 C64:D71 B28:R32 S28:AF28 B18:AF22 B24:AF26 S30:AF32 B16:AF16 B12:AF14">
    <cfRule type="expression" dxfId="2446" priority="77">
      <formula>B$9&gt;=20/24</formula>
    </cfRule>
    <cfRule type="expression" dxfId="2445" priority="78">
      <formula>AND(B$9&gt;=14/24,B$9&lt;20/24)</formula>
    </cfRule>
    <cfRule type="expression" dxfId="2444" priority="79">
      <formula>AND(B$9&gt;=8/24,B$9&lt;14/24)</formula>
    </cfRule>
    <cfRule type="expression" dxfId="2443" priority="80">
      <formula>B$9&lt;8/24</formula>
    </cfRule>
  </conditionalFormatting>
  <conditionalFormatting sqref="B33:AF33">
    <cfRule type="expression" dxfId="2442" priority="73">
      <formula>B$9&gt;=20/24</formula>
    </cfRule>
    <cfRule type="expression" dxfId="2441" priority="74">
      <formula>AND(B$9&gt;=14/24,B$9&lt;20/24)</formula>
    </cfRule>
    <cfRule type="expression" dxfId="2440" priority="75">
      <formula>AND(B$9&gt;=8/24,B$9&lt;14/24)</formula>
    </cfRule>
    <cfRule type="expression" dxfId="2439" priority="76">
      <formula>B$9&lt;8/24</formula>
    </cfRule>
  </conditionalFormatting>
  <conditionalFormatting sqref="B55:B60 B38:AG38 C56:AG56 C60:AG60 C57:E59 B46:D47 B24:R33 B18:AF22 S24:AF28 S30:AF33">
    <cfRule type="expression" dxfId="2438" priority="72">
      <formula>B18&gt;$AG18</formula>
    </cfRule>
  </conditionalFormatting>
  <conditionalFormatting sqref="B35:AF35">
    <cfRule type="expression" dxfId="2437" priority="68">
      <formula>B$9&gt;=20/24</formula>
    </cfRule>
    <cfRule type="expression" dxfId="2436" priority="69">
      <formula>AND(B$9&gt;=14/24,B$9&lt;20/24)</formula>
    </cfRule>
    <cfRule type="expression" dxfId="2435" priority="70">
      <formula>AND(B$9&gt;=8/24,B$9&lt;14/24)</formula>
    </cfRule>
    <cfRule type="expression" dxfId="2434" priority="71">
      <formula>B$9&lt;8/24</formula>
    </cfRule>
  </conditionalFormatting>
  <conditionalFormatting sqref="B15:AF15">
    <cfRule type="expression" dxfId="2433" priority="64">
      <formula>B$9&gt;=20/24</formula>
    </cfRule>
    <cfRule type="expression" dxfId="2432" priority="65">
      <formula>AND(B$9&gt;=14/24,B$9&lt;20/24)</formula>
    </cfRule>
    <cfRule type="expression" dxfId="2431" priority="66">
      <formula>AND(B$9&gt;=8/24,B$9&lt;14/24)</formula>
    </cfRule>
    <cfRule type="expression" dxfId="2430" priority="67">
      <formula>B$9&lt;8/24</formula>
    </cfRule>
  </conditionalFormatting>
  <conditionalFormatting sqref="B34:AF34">
    <cfRule type="expression" dxfId="2429" priority="60">
      <formula>B$9&gt;=20/24</formula>
    </cfRule>
    <cfRule type="expression" dxfId="2428" priority="61">
      <formula>AND(B$9&gt;=14/24,B$9&lt;20/24)</formula>
    </cfRule>
    <cfRule type="expression" dxfId="2427" priority="62">
      <formula>AND(B$9&gt;=8/24,B$9&lt;14/24)</formula>
    </cfRule>
    <cfRule type="expression" dxfId="2426" priority="63">
      <formula>B$9&lt;8/24</formula>
    </cfRule>
  </conditionalFormatting>
  <conditionalFormatting sqref="B34:AF34">
    <cfRule type="expression" dxfId="2425" priority="59">
      <formula>B34&gt;$AG34</formula>
    </cfRule>
  </conditionalFormatting>
  <conditionalFormatting sqref="B48:D52 B54:D54 B53:L53">
    <cfRule type="expression" dxfId="2424" priority="55">
      <formula>B$9&gt;=20/24</formula>
    </cfRule>
    <cfRule type="expression" dxfId="2423" priority="56">
      <formula>AND(B$9&gt;=14/24,B$9&lt;20/24)</formula>
    </cfRule>
    <cfRule type="expression" dxfId="2422" priority="57">
      <formula>AND(B$9&gt;=8/24,B$9&lt;14/24)</formula>
    </cfRule>
    <cfRule type="expression" dxfId="2421" priority="58">
      <formula>B$9&lt;8/24</formula>
    </cfRule>
  </conditionalFormatting>
  <conditionalFormatting sqref="B48:D52 B54:D54 B53:L53">
    <cfRule type="expression" dxfId="2420" priority="54">
      <formula>B48&gt;$AG48</formula>
    </cfRule>
  </conditionalFormatting>
  <conditionalFormatting sqref="B27:AF27">
    <cfRule type="expression" dxfId="2419" priority="50">
      <formula>B$9&gt;=20/24</formula>
    </cfRule>
    <cfRule type="expression" dxfId="2418" priority="51">
      <formula>AND(B$9&gt;=14/24,B$9&lt;20/24)</formula>
    </cfRule>
    <cfRule type="expression" dxfId="2417" priority="52">
      <formula>AND(B$9&gt;=8/24,B$9&lt;14/24)</formula>
    </cfRule>
    <cfRule type="expression" dxfId="2416" priority="53">
      <formula>B$9&lt;8/24</formula>
    </cfRule>
  </conditionalFormatting>
  <conditionalFormatting sqref="B17:AF17 B23:AF23">
    <cfRule type="expression" dxfId="2415" priority="46">
      <formula>B$9&gt;=20/24</formula>
    </cfRule>
    <cfRule type="expression" dxfId="2414" priority="47">
      <formula>AND(B$9&gt;=14/24,B$9&lt;20/24)</formula>
    </cfRule>
    <cfRule type="expression" dxfId="2413" priority="48">
      <formula>AND(B$9&gt;=8/24,B$9&lt;14/24)</formula>
    </cfRule>
    <cfRule type="expression" dxfId="2412" priority="49">
      <formula>B$9&lt;8/24</formula>
    </cfRule>
  </conditionalFormatting>
  <conditionalFormatting sqref="B17:AF17 B23:AF23">
    <cfRule type="expression" dxfId="2411" priority="45">
      <formula>B17&gt;$AG17</formula>
    </cfRule>
  </conditionalFormatting>
  <conditionalFormatting sqref="A34">
    <cfRule type="expression" dxfId="2410" priority="44">
      <formula>$AH34=0</formula>
    </cfRule>
  </conditionalFormatting>
  <conditionalFormatting sqref="B72:AF72">
    <cfRule type="expression" dxfId="2409" priority="40">
      <formula>B$9&gt;=20/24</formula>
    </cfRule>
    <cfRule type="expression" dxfId="2408" priority="41">
      <formula>AND(B$9&gt;=14/24,B$9&lt;20/24)</formula>
    </cfRule>
    <cfRule type="expression" dxfId="2407" priority="42">
      <formula>AND(B$9&gt;=8/24,B$9&lt;14/24)</formula>
    </cfRule>
    <cfRule type="expression" dxfId="2406" priority="43">
      <formula>B$9&lt;8/24</formula>
    </cfRule>
  </conditionalFormatting>
  <conditionalFormatting sqref="B81:AF85">
    <cfRule type="expression" dxfId="2405" priority="36">
      <formula>B$9&gt;=20/24</formula>
    </cfRule>
    <cfRule type="expression" dxfId="2404" priority="37">
      <formula>AND(B$9&gt;=14/24,B$9&lt;20/24)</formula>
    </cfRule>
    <cfRule type="expression" dxfId="2403" priority="38">
      <formula>AND(B$9&gt;=8/24,B$9&lt;14/24)</formula>
    </cfRule>
    <cfRule type="expression" dxfId="2402" priority="39">
      <formula>B$9&lt;8/24</formula>
    </cfRule>
  </conditionalFormatting>
  <conditionalFormatting sqref="AL35 AL7:AL30 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F39:AF41">
    <cfRule type="expression" dxfId="2401" priority="32">
      <formula>F$9&gt;=20/24</formula>
    </cfRule>
    <cfRule type="expression" dxfId="2400" priority="33">
      <formula>AND(F$9&gt;=14/24,F$9&lt;20/24)</formula>
    </cfRule>
    <cfRule type="expression" dxfId="2399" priority="34">
      <formula>AND(F$9&gt;=8/24,F$9&lt;14/24)</formula>
    </cfRule>
    <cfRule type="expression" dxfId="2398" priority="35">
      <formula>F$9&lt;8/24</formula>
    </cfRule>
  </conditionalFormatting>
  <conditionalFormatting sqref="F39:AF41">
    <cfRule type="expression" dxfId="2397" priority="31">
      <formula>F39&gt;$AG39</formula>
    </cfRule>
  </conditionalFormatting>
  <conditionalFormatting sqref="B39:B42 C42:AG42 C39:E41">
    <cfRule type="expression" dxfId="2396" priority="27">
      <formula>B$9&gt;=20/24</formula>
    </cfRule>
    <cfRule type="expression" dxfId="2395" priority="28">
      <formula>AND(B$9&gt;=14/24,B$9&lt;20/24)</formula>
    </cfRule>
    <cfRule type="expression" dxfId="2394" priority="29">
      <formula>AND(B$9&gt;=8/24,B$9&lt;14/24)</formula>
    </cfRule>
    <cfRule type="expression" dxfId="2393" priority="30">
      <formula>B$9&lt;8/24</formula>
    </cfRule>
  </conditionalFormatting>
  <conditionalFormatting sqref="B39:B42 C42:AG42 C39:E41">
    <cfRule type="expression" dxfId="2392" priority="26">
      <formula>B39&gt;$AG39</formula>
    </cfRule>
  </conditionalFormatting>
  <conditionalFormatting sqref="C97:AF97">
    <cfRule type="expression" dxfId="2391" priority="22">
      <formula>C$9&gt;=20/24</formula>
    </cfRule>
    <cfRule type="expression" dxfId="2390" priority="23">
      <formula>AND(C$9&gt;=14/24,C$9&lt;20/24)</formula>
    </cfRule>
    <cfRule type="expression" dxfId="2389" priority="24">
      <formula>AND(C$9&gt;=8/24,C$9&lt;14/24)</formula>
    </cfRule>
    <cfRule type="expression" dxfId="2388" priority="25">
      <formula>C$9&lt;8/24</formula>
    </cfRule>
  </conditionalFormatting>
  <conditionalFormatting sqref="B97">
    <cfRule type="expression" dxfId="2387" priority="18">
      <formula>B$9&gt;=20/24</formula>
    </cfRule>
    <cfRule type="expression" dxfId="2386" priority="19">
      <formula>AND(B$9&gt;=14/24,B$9&lt;20/24)</formula>
    </cfRule>
    <cfRule type="expression" dxfId="2385" priority="20">
      <formula>AND(B$9&gt;=8/24,B$9&lt;14/24)</formula>
    </cfRule>
    <cfRule type="expression" dxfId="2384" priority="21">
      <formula>B$9&lt;8/24</formula>
    </cfRule>
  </conditionalFormatting>
  <conditionalFormatting sqref="AL31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383" priority="12">
      <formula>$AH31=0</formula>
    </cfRule>
  </conditionalFormatting>
  <conditionalFormatting sqref="A80">
    <cfRule type="expression" dxfId="2382" priority="10">
      <formula>$AH80=0</formula>
    </cfRule>
  </conditionalFormatting>
  <conditionalFormatting sqref="A77">
    <cfRule type="expression" dxfId="2381" priority="11">
      <formula>$AH77=0</formula>
    </cfRule>
  </conditionalFormatting>
  <conditionalFormatting sqref="A106">
    <cfRule type="expression" dxfId="2380" priority="1">
      <formula>$AH106=0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986948F3-334C-4A3D-921E-92D036FA691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" id="{89B4430E-4739-4E47-8D13-792F7BC8F33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6A519B97-99E6-4F3F-906B-497B714232F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8FE9F847-4BE3-4905-B64B-FB7BFE6CCB8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6" id="{93337AA4-18E9-4526-BD9A-481716D5AF3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02407A0B-46B8-434E-881E-921D14AD20C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7EEA73C3-682C-4B8A-8417-5B9CC2A3F01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C4D5D8C8-624E-4382-9547-E00DBB83801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C106:AF106</xm:sqref>
        </x14:conditionalFormatting>
        <x14:conditionalFormatting xmlns:xm="http://schemas.microsoft.com/office/excel/2006/main">
          <x14:cfRule type="expression" priority="2" id="{2F832CAA-F6B4-4CAB-AE32-0F21179B2A0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1B45FED3-81BF-4D9E-983B-0407BCBA9E4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A2407F53-25BB-4DDB-A02E-2639108D12F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EEAB34DD-3B97-47DB-A5C2-BCA465C4C70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CJ494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R78" sqref="R78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2079/02/26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24.9</v>
      </c>
      <c r="C5" s="205">
        <f t="shared" si="0"/>
        <v>24.3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40</v>
      </c>
      <c r="O5" s="205">
        <f t="shared" si="0"/>
        <v>57</v>
      </c>
      <c r="P5" s="205">
        <f t="shared" si="0"/>
        <v>71.599999999999994</v>
      </c>
      <c r="Q5" s="205">
        <f t="shared" si="0"/>
        <v>41.7</v>
      </c>
      <c r="R5" s="205">
        <f t="shared" si="0"/>
        <v>52</v>
      </c>
      <c r="S5" s="205">
        <f t="shared" si="0"/>
        <v>33.9</v>
      </c>
      <c r="T5" s="205">
        <f t="shared" si="0"/>
        <v>29.5</v>
      </c>
      <c r="U5" s="205">
        <f t="shared" si="0"/>
        <v>35</v>
      </c>
      <c r="V5" s="205">
        <f t="shared" si="0"/>
        <v>5</v>
      </c>
      <c r="W5" s="205">
        <f t="shared" si="0"/>
        <v>5</v>
      </c>
      <c r="X5" s="205">
        <f t="shared" si="0"/>
        <v>5</v>
      </c>
      <c r="Y5" s="205">
        <f t="shared" si="0"/>
        <v>64.099999999999994</v>
      </c>
      <c r="Z5" s="205">
        <f t="shared" si="0"/>
        <v>61.2</v>
      </c>
      <c r="AA5" s="205">
        <f t="shared" si="0"/>
        <v>46</v>
      </c>
      <c r="AB5" s="205">
        <f t="shared" si="0"/>
        <v>52</v>
      </c>
      <c r="AC5" s="205">
        <f t="shared" si="0"/>
        <v>69</v>
      </c>
      <c r="AD5" s="205">
        <f t="shared" si="0"/>
        <v>63</v>
      </c>
      <c r="AE5" s="205">
        <f t="shared" si="0"/>
        <v>44</v>
      </c>
      <c r="AF5" s="205">
        <f>B72</f>
        <v>22.3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1795MW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Load=1688</v>
      </c>
      <c r="B7" s="210">
        <f>B79</f>
        <v>1688.34</v>
      </c>
      <c r="C7" s="210">
        <f t="shared" ref="C7:AF7" si="1">C79</f>
        <v>1744.44</v>
      </c>
      <c r="D7" s="210">
        <f t="shared" si="1"/>
        <v>1731.9399999999998</v>
      </c>
      <c r="E7" s="210">
        <f t="shared" si="1"/>
        <v>1723.24</v>
      </c>
      <c r="F7" s="210">
        <f t="shared" si="1"/>
        <v>1708.3400000000001</v>
      </c>
      <c r="G7" s="210">
        <f t="shared" si="1"/>
        <v>1713.3400000000001</v>
      </c>
      <c r="H7" s="210">
        <f t="shared" si="1"/>
        <v>1719.2400000000002</v>
      </c>
      <c r="I7" s="210">
        <f t="shared" si="1"/>
        <v>1719.2400000000002</v>
      </c>
      <c r="J7" s="210">
        <f t="shared" si="1"/>
        <v>1720.64</v>
      </c>
      <c r="K7" s="210">
        <f t="shared" si="1"/>
        <v>1756.0400000000002</v>
      </c>
      <c r="L7" s="210">
        <f t="shared" si="1"/>
        <v>1779.0400000000002</v>
      </c>
      <c r="M7" s="210">
        <f t="shared" si="1"/>
        <v>1795.0400000000002</v>
      </c>
      <c r="N7" s="210">
        <f t="shared" si="1"/>
        <v>1766.44</v>
      </c>
      <c r="O7" s="210">
        <f t="shared" si="1"/>
        <v>1818.44</v>
      </c>
      <c r="P7" s="210">
        <f t="shared" si="1"/>
        <v>1835.44</v>
      </c>
      <c r="Q7" s="210">
        <f t="shared" si="1"/>
        <v>1858.54</v>
      </c>
      <c r="R7" s="210">
        <f t="shared" si="1"/>
        <v>1835.9400000000003</v>
      </c>
      <c r="S7" s="210">
        <f t="shared" si="1"/>
        <v>1846.2400000000002</v>
      </c>
      <c r="T7" s="210">
        <f t="shared" si="1"/>
        <v>1824.2400000000002</v>
      </c>
      <c r="U7" s="210">
        <f t="shared" si="1"/>
        <v>1820.64</v>
      </c>
      <c r="V7" s="210">
        <f t="shared" si="1"/>
        <v>1826.44</v>
      </c>
      <c r="W7" s="210">
        <f t="shared" si="1"/>
        <v>1796.44</v>
      </c>
      <c r="X7" s="210">
        <f t="shared" si="1"/>
        <v>1796.74</v>
      </c>
      <c r="Y7" s="210">
        <f t="shared" si="1"/>
        <v>1798.74</v>
      </c>
      <c r="Z7" s="210">
        <f t="shared" si="1"/>
        <v>1890.24</v>
      </c>
      <c r="AA7" s="210">
        <f t="shared" si="1"/>
        <v>1879.5400000000002</v>
      </c>
      <c r="AB7" s="210">
        <f t="shared" si="1"/>
        <v>1848.6399999999999</v>
      </c>
      <c r="AC7" s="210">
        <f t="shared" si="1"/>
        <v>1854.6399999999999</v>
      </c>
      <c r="AD7" s="210">
        <f t="shared" si="1"/>
        <v>1867.6399999999999</v>
      </c>
      <c r="AE7" s="210">
        <f t="shared" si="1"/>
        <v>1859.6399999999999</v>
      </c>
      <c r="AF7" s="210">
        <f t="shared" si="1"/>
        <v>1840.6399999999999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53.1</v>
      </c>
      <c r="C11" s="221">
        <v>53.1</v>
      </c>
      <c r="D11" s="221">
        <v>53.1</v>
      </c>
      <c r="E11" s="221">
        <v>53.1</v>
      </c>
      <c r="F11" s="221">
        <v>53.1</v>
      </c>
      <c r="G11" s="221">
        <v>53.1</v>
      </c>
      <c r="H11" s="221">
        <v>53.1</v>
      </c>
      <c r="I11" s="221">
        <v>53.1</v>
      </c>
      <c r="J11" s="221">
        <v>53.1</v>
      </c>
      <c r="K11" s="221">
        <v>53.1</v>
      </c>
      <c r="L11" s="221">
        <v>53.1</v>
      </c>
      <c r="M11" s="221">
        <v>53.1</v>
      </c>
      <c r="N11" s="221">
        <v>53.1</v>
      </c>
      <c r="O11" s="221">
        <v>53.1</v>
      </c>
      <c r="P11" s="221">
        <v>53.1</v>
      </c>
      <c r="Q11" s="221">
        <v>53.1</v>
      </c>
      <c r="R11" s="221">
        <v>53.1</v>
      </c>
      <c r="S11" s="224">
        <v>53.1</v>
      </c>
      <c r="T11" s="224">
        <v>52.9</v>
      </c>
      <c r="U11" s="224">
        <v>52.9</v>
      </c>
      <c r="V11" s="224">
        <v>52.4</v>
      </c>
      <c r="W11" s="224">
        <v>52.4</v>
      </c>
      <c r="X11" s="224">
        <v>52.7</v>
      </c>
      <c r="Y11" s="224">
        <v>52.7</v>
      </c>
      <c r="Z11" s="224">
        <v>52.9</v>
      </c>
      <c r="AA11" s="224">
        <v>52.9</v>
      </c>
      <c r="AB11" s="224">
        <v>52.9</v>
      </c>
      <c r="AC11" s="224">
        <v>52.9</v>
      </c>
      <c r="AD11" s="224">
        <v>52.9</v>
      </c>
      <c r="AE11" s="224">
        <v>52.9</v>
      </c>
      <c r="AF11" s="224">
        <v>52.9</v>
      </c>
      <c r="AG11" s="225">
        <v>52.4</v>
      </c>
      <c r="AH11" s="226">
        <f>MAX(B11:AF11)</f>
        <v>53.1</v>
      </c>
      <c r="AI11" s="227">
        <f>MIN(B11:AF11)</f>
        <v>52.4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50.5</v>
      </c>
      <c r="C12" s="221">
        <v>50.5</v>
      </c>
      <c r="D12" s="221">
        <v>50.5</v>
      </c>
      <c r="E12" s="221">
        <v>50.5</v>
      </c>
      <c r="F12" s="221">
        <v>50.5</v>
      </c>
      <c r="G12" s="221">
        <v>50.5</v>
      </c>
      <c r="H12" s="221">
        <v>50.5</v>
      </c>
      <c r="I12" s="221">
        <v>50.5</v>
      </c>
      <c r="J12" s="221">
        <v>50.5</v>
      </c>
      <c r="K12" s="221">
        <v>50.5</v>
      </c>
      <c r="L12" s="221">
        <v>50.5</v>
      </c>
      <c r="M12" s="221">
        <v>50.5</v>
      </c>
      <c r="N12" s="221">
        <v>50.5</v>
      </c>
      <c r="O12" s="221">
        <v>50.5</v>
      </c>
      <c r="P12" s="221">
        <v>50.5</v>
      </c>
      <c r="Q12" s="221">
        <v>50.5</v>
      </c>
      <c r="R12" s="221">
        <v>50.5</v>
      </c>
      <c r="S12" s="221">
        <v>50.5</v>
      </c>
      <c r="T12" s="221">
        <v>50.5</v>
      </c>
      <c r="U12" s="221">
        <v>50.5</v>
      </c>
      <c r="V12" s="221">
        <v>50.7</v>
      </c>
      <c r="W12" s="221">
        <v>50.7</v>
      </c>
      <c r="X12" s="221">
        <v>50.7</v>
      </c>
      <c r="Y12" s="221">
        <v>50.7</v>
      </c>
      <c r="Z12" s="221">
        <v>50.5</v>
      </c>
      <c r="AA12" s="221">
        <v>50.3</v>
      </c>
      <c r="AB12" s="221">
        <v>50.3</v>
      </c>
      <c r="AC12" s="221">
        <v>50.3</v>
      </c>
      <c r="AD12" s="221">
        <v>50.3</v>
      </c>
      <c r="AE12" s="221">
        <v>50.3</v>
      </c>
      <c r="AF12" s="221">
        <v>50.3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50.3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46.1</v>
      </c>
      <c r="AB13" s="221">
        <v>46.1</v>
      </c>
      <c r="AC13" s="221">
        <v>46.1</v>
      </c>
      <c r="AD13" s="221">
        <v>46.1</v>
      </c>
      <c r="AE13" s="221">
        <v>46.1</v>
      </c>
      <c r="AF13" s="221">
        <v>46.1</v>
      </c>
      <c r="AG13" s="229">
        <v>45</v>
      </c>
      <c r="AH13" s="226">
        <f t="shared" si="2"/>
        <v>46.1</v>
      </c>
      <c r="AI13" s="227">
        <f t="shared" si="3"/>
        <v>46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32</v>
      </c>
      <c r="C14" s="221">
        <v>28</v>
      </c>
      <c r="D14" s="221">
        <v>26</v>
      </c>
      <c r="E14" s="221">
        <v>35</v>
      </c>
      <c r="F14" s="221">
        <v>26</v>
      </c>
      <c r="G14" s="221">
        <v>26</v>
      </c>
      <c r="H14" s="221">
        <v>26</v>
      </c>
      <c r="I14" s="221">
        <v>26</v>
      </c>
      <c r="J14" s="221">
        <v>26</v>
      </c>
      <c r="K14" s="221">
        <v>35</v>
      </c>
      <c r="L14" s="221">
        <v>35</v>
      </c>
      <c r="M14" s="221">
        <v>35</v>
      </c>
      <c r="N14" s="221">
        <v>28</v>
      </c>
      <c r="O14" s="221">
        <v>28</v>
      </c>
      <c r="P14" s="221">
        <v>28</v>
      </c>
      <c r="Q14" s="221">
        <v>33</v>
      </c>
      <c r="R14" s="221">
        <v>33</v>
      </c>
      <c r="S14" s="221">
        <v>33</v>
      </c>
      <c r="T14" s="221">
        <v>33</v>
      </c>
      <c r="U14" s="221">
        <v>33</v>
      </c>
      <c r="V14" s="221">
        <v>33</v>
      </c>
      <c r="W14" s="221">
        <v>33</v>
      </c>
      <c r="X14" s="221">
        <v>33</v>
      </c>
      <c r="Y14" s="221">
        <v>36</v>
      </c>
      <c r="Z14" s="221">
        <v>40</v>
      </c>
      <c r="AA14" s="221">
        <v>33</v>
      </c>
      <c r="AB14" s="221">
        <v>33</v>
      </c>
      <c r="AC14" s="221">
        <v>33</v>
      </c>
      <c r="AD14" s="221">
        <v>33</v>
      </c>
      <c r="AE14" s="221">
        <v>33</v>
      </c>
      <c r="AF14" s="221">
        <v>33</v>
      </c>
      <c r="AG14" s="229">
        <v>42</v>
      </c>
      <c r="AH14" s="226">
        <f t="shared" si="2"/>
        <v>40</v>
      </c>
      <c r="AI14" s="227">
        <f t="shared" si="3"/>
        <v>26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15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30</v>
      </c>
      <c r="AF15" s="221">
        <v>30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25.3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25.3</v>
      </c>
      <c r="N16" s="221">
        <v>25.3</v>
      </c>
      <c r="O16" s="221">
        <v>25.3</v>
      </c>
      <c r="P16" s="221">
        <v>25.3</v>
      </c>
      <c r="Q16" s="221">
        <v>25.3</v>
      </c>
      <c r="R16" s="221">
        <v>25.3</v>
      </c>
      <c r="S16" s="221">
        <v>25.3</v>
      </c>
      <c r="T16" s="221">
        <v>25.3</v>
      </c>
      <c r="U16" s="221">
        <v>25.3</v>
      </c>
      <c r="V16" s="221">
        <v>25.3</v>
      </c>
      <c r="W16" s="221">
        <v>25.3</v>
      </c>
      <c r="X16" s="221">
        <v>25.3</v>
      </c>
      <c r="Y16" s="221">
        <v>25.4</v>
      </c>
      <c r="Z16" s="221">
        <v>25.4</v>
      </c>
      <c r="AA16" s="221">
        <v>25.4</v>
      </c>
      <c r="AB16" s="221">
        <v>25.4</v>
      </c>
      <c r="AC16" s="221">
        <v>25.4</v>
      </c>
      <c r="AD16" s="221">
        <v>25.4</v>
      </c>
      <c r="AE16" s="221">
        <v>25.4</v>
      </c>
      <c r="AF16" s="221">
        <v>25.4</v>
      </c>
      <c r="AG16" s="229">
        <v>25</v>
      </c>
      <c r="AH16" s="226">
        <f t="shared" si="2"/>
        <v>25.4</v>
      </c>
      <c r="AI16" s="227">
        <f t="shared" si="3"/>
        <v>25.3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25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25</v>
      </c>
      <c r="E19" s="221">
        <v>24</v>
      </c>
      <c r="F19" s="221">
        <v>24</v>
      </c>
      <c r="G19" s="221">
        <v>24</v>
      </c>
      <c r="H19" s="221">
        <v>24</v>
      </c>
      <c r="I19" s="221">
        <v>24</v>
      </c>
      <c r="J19" s="221">
        <v>24</v>
      </c>
      <c r="K19" s="221">
        <v>24</v>
      </c>
      <c r="L19" s="221">
        <v>24</v>
      </c>
      <c r="M19" s="221">
        <v>24</v>
      </c>
      <c r="N19" s="221">
        <v>24</v>
      </c>
      <c r="O19" s="221">
        <v>24</v>
      </c>
      <c r="P19" s="221">
        <v>24</v>
      </c>
      <c r="Q19" s="221">
        <v>24</v>
      </c>
      <c r="R19" s="221">
        <v>24</v>
      </c>
      <c r="S19" s="221">
        <v>24</v>
      </c>
      <c r="T19" s="221">
        <v>24</v>
      </c>
      <c r="U19" s="221">
        <v>24</v>
      </c>
      <c r="V19" s="221">
        <v>24</v>
      </c>
      <c r="W19" s="221">
        <v>24</v>
      </c>
      <c r="X19" s="221">
        <v>24</v>
      </c>
      <c r="Y19" s="221">
        <v>22.9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33.200000000000003</v>
      </c>
      <c r="AF19" s="221">
        <v>33.200000000000003</v>
      </c>
      <c r="AG19" s="229">
        <v>24.2</v>
      </c>
      <c r="AH19" s="226">
        <f t="shared" si="2"/>
        <v>33.200000000000003</v>
      </c>
      <c r="AI19" s="227">
        <f t="shared" si="3"/>
        <v>22.9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23.6</v>
      </c>
      <c r="C20" s="221">
        <v>23.6</v>
      </c>
      <c r="D20" s="221">
        <v>23.6</v>
      </c>
      <c r="E20" s="221">
        <v>23</v>
      </c>
      <c r="F20" s="221">
        <v>23</v>
      </c>
      <c r="G20" s="221">
        <v>23</v>
      </c>
      <c r="H20" s="221">
        <v>23</v>
      </c>
      <c r="I20" s="221">
        <v>23</v>
      </c>
      <c r="J20" s="221">
        <v>23</v>
      </c>
      <c r="K20" s="221">
        <v>23</v>
      </c>
      <c r="L20" s="221">
        <v>23</v>
      </c>
      <c r="M20" s="221">
        <v>23</v>
      </c>
      <c r="N20" s="221">
        <v>23</v>
      </c>
      <c r="O20" s="221">
        <v>23</v>
      </c>
      <c r="P20" s="221">
        <v>23</v>
      </c>
      <c r="Q20" s="221">
        <v>23</v>
      </c>
      <c r="R20" s="221">
        <v>23</v>
      </c>
      <c r="S20" s="221">
        <v>23</v>
      </c>
      <c r="T20" s="221">
        <v>23</v>
      </c>
      <c r="U20" s="221">
        <v>23</v>
      </c>
      <c r="V20" s="221">
        <v>23</v>
      </c>
      <c r="W20" s="221">
        <v>23</v>
      </c>
      <c r="X20" s="221">
        <v>23</v>
      </c>
      <c r="Y20" s="221">
        <v>23</v>
      </c>
      <c r="Z20" s="221">
        <v>23.5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23.6</v>
      </c>
      <c r="AI20" s="227">
        <f t="shared" si="3"/>
        <v>23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22</v>
      </c>
      <c r="M24" s="221">
        <v>22</v>
      </c>
      <c r="N24" s="221">
        <v>22</v>
      </c>
      <c r="O24" s="221">
        <v>22</v>
      </c>
      <c r="P24" s="221">
        <v>22</v>
      </c>
      <c r="Q24" s="221">
        <v>22</v>
      </c>
      <c r="R24" s="221">
        <v>22</v>
      </c>
      <c r="S24" s="221">
        <v>22</v>
      </c>
      <c r="T24" s="221">
        <v>22</v>
      </c>
      <c r="U24" s="221">
        <v>22</v>
      </c>
      <c r="V24" s="221">
        <v>22</v>
      </c>
      <c r="W24" s="221">
        <v>22</v>
      </c>
      <c r="X24" s="221">
        <v>22</v>
      </c>
      <c r="Y24" s="221">
        <v>22</v>
      </c>
      <c r="Z24" s="221">
        <v>22</v>
      </c>
      <c r="AA24" s="221">
        <v>22</v>
      </c>
      <c r="AB24" s="221">
        <v>22</v>
      </c>
      <c r="AC24" s="221">
        <v>22</v>
      </c>
      <c r="AD24" s="221">
        <v>22</v>
      </c>
      <c r="AE24" s="221">
        <v>22</v>
      </c>
      <c r="AF24" s="221">
        <v>22</v>
      </c>
      <c r="AG24" s="229">
        <v>22</v>
      </c>
      <c r="AH24" s="226">
        <f t="shared" si="2"/>
        <v>22</v>
      </c>
      <c r="AI24" s="227">
        <f t="shared" si="3"/>
        <v>20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10</v>
      </c>
      <c r="L25" s="221">
        <v>15</v>
      </c>
      <c r="M25" s="221">
        <v>15</v>
      </c>
      <c r="N25" s="221">
        <v>15</v>
      </c>
      <c r="O25" s="221">
        <v>15</v>
      </c>
      <c r="P25" s="221">
        <v>15</v>
      </c>
      <c r="Q25" s="221">
        <v>10</v>
      </c>
      <c r="R25" s="221">
        <v>13</v>
      </c>
      <c r="S25" s="221">
        <v>13</v>
      </c>
      <c r="T25" s="221">
        <v>13</v>
      </c>
      <c r="U25" s="221">
        <v>13</v>
      </c>
      <c r="V25" s="221">
        <v>13</v>
      </c>
      <c r="W25" s="221">
        <v>13</v>
      </c>
      <c r="X25" s="221">
        <v>13</v>
      </c>
      <c r="Y25" s="221">
        <v>13</v>
      </c>
      <c r="Z25" s="221">
        <v>20</v>
      </c>
      <c r="AA25" s="221">
        <v>20</v>
      </c>
      <c r="AB25" s="221">
        <v>20</v>
      </c>
      <c r="AC25" s="221">
        <v>20</v>
      </c>
      <c r="AD25" s="221">
        <v>16</v>
      </c>
      <c r="AE25" s="221">
        <v>14</v>
      </c>
      <c r="AF25" s="221">
        <v>14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7.8</v>
      </c>
      <c r="C26" s="221">
        <v>7.8</v>
      </c>
      <c r="D26" s="221">
        <v>7.8</v>
      </c>
      <c r="E26" s="221">
        <v>7.8</v>
      </c>
      <c r="F26" s="221">
        <v>7.8</v>
      </c>
      <c r="G26" s="221">
        <v>7.8</v>
      </c>
      <c r="H26" s="221">
        <v>14</v>
      </c>
      <c r="I26" s="221">
        <v>14</v>
      </c>
      <c r="J26" s="221">
        <v>14</v>
      </c>
      <c r="K26" s="221">
        <v>14</v>
      </c>
      <c r="L26" s="221">
        <v>14</v>
      </c>
      <c r="M26" s="221">
        <v>14</v>
      </c>
      <c r="N26" s="221">
        <v>14</v>
      </c>
      <c r="O26" s="221">
        <v>14</v>
      </c>
      <c r="P26" s="221">
        <v>14</v>
      </c>
      <c r="Q26" s="221">
        <v>14</v>
      </c>
      <c r="R26" s="221">
        <v>14</v>
      </c>
      <c r="S26" s="221">
        <v>14</v>
      </c>
      <c r="T26" s="221">
        <v>14</v>
      </c>
      <c r="U26" s="221">
        <v>14</v>
      </c>
      <c r="V26" s="221">
        <v>14</v>
      </c>
      <c r="W26" s="221">
        <v>14</v>
      </c>
      <c r="X26" s="221">
        <v>14</v>
      </c>
      <c r="Y26" s="221">
        <v>14</v>
      </c>
      <c r="Z26" s="221">
        <v>14</v>
      </c>
      <c r="AA26" s="221">
        <v>14</v>
      </c>
      <c r="AB26" s="221">
        <v>14</v>
      </c>
      <c r="AC26" s="221">
        <v>14</v>
      </c>
      <c r="AD26" s="221">
        <v>14</v>
      </c>
      <c r="AE26" s="221">
        <v>14</v>
      </c>
      <c r="AF26" s="221">
        <v>14</v>
      </c>
      <c r="AG26" s="229">
        <v>14.9</v>
      </c>
      <c r="AH26" s="226">
        <f t="shared" si="2"/>
        <v>14</v>
      </c>
      <c r="AI26" s="227">
        <f t="shared" si="3"/>
        <v>7.8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8</v>
      </c>
      <c r="C27" s="221">
        <v>8</v>
      </c>
      <c r="D27" s="221">
        <v>8</v>
      </c>
      <c r="E27" s="221">
        <v>8</v>
      </c>
      <c r="F27" s="221">
        <v>8</v>
      </c>
      <c r="G27" s="221">
        <v>8</v>
      </c>
      <c r="H27" s="221">
        <v>8</v>
      </c>
      <c r="I27" s="221">
        <v>8</v>
      </c>
      <c r="J27" s="221">
        <v>8</v>
      </c>
      <c r="K27" s="221">
        <v>8</v>
      </c>
      <c r="L27" s="221">
        <v>8</v>
      </c>
      <c r="M27" s="221">
        <v>8</v>
      </c>
      <c r="N27" s="221">
        <v>8</v>
      </c>
      <c r="O27" s="221">
        <v>8</v>
      </c>
      <c r="P27" s="221">
        <v>8</v>
      </c>
      <c r="Q27" s="221">
        <v>8</v>
      </c>
      <c r="R27" s="221">
        <v>8</v>
      </c>
      <c r="S27" s="221">
        <v>8</v>
      </c>
      <c r="T27" s="221">
        <v>8</v>
      </c>
      <c r="U27" s="221">
        <v>8</v>
      </c>
      <c r="V27" s="221">
        <v>8</v>
      </c>
      <c r="W27" s="221">
        <v>8</v>
      </c>
      <c r="X27" s="221">
        <v>8</v>
      </c>
      <c r="Y27" s="221">
        <v>8</v>
      </c>
      <c r="Z27" s="221">
        <v>8</v>
      </c>
      <c r="AA27" s="221">
        <v>8</v>
      </c>
      <c r="AB27" s="221">
        <v>8</v>
      </c>
      <c r="AC27" s="221">
        <v>8</v>
      </c>
      <c r="AD27" s="221">
        <v>8</v>
      </c>
      <c r="AE27" s="221">
        <v>8</v>
      </c>
      <c r="AF27" s="221">
        <v>8</v>
      </c>
      <c r="AG27" s="229">
        <v>13.6</v>
      </c>
      <c r="AH27" s="226">
        <f t="shared" si="2"/>
        <v>8</v>
      </c>
      <c r="AI27" s="227">
        <f t="shared" si="3"/>
        <v>8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11.5</v>
      </c>
      <c r="AC32" s="221">
        <v>11.5</v>
      </c>
      <c r="AD32" s="221">
        <v>11.5</v>
      </c>
      <c r="AE32" s="221">
        <v>11.5</v>
      </c>
      <c r="AF32" s="221">
        <v>11.5</v>
      </c>
      <c r="AG32" s="230">
        <v>11.88</v>
      </c>
      <c r="AH32" s="226">
        <f t="shared" si="2"/>
        <v>11.5</v>
      </c>
      <c r="AI32" s="227">
        <f t="shared" si="3"/>
        <v>11.5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8</v>
      </c>
      <c r="N35" s="221">
        <v>8</v>
      </c>
      <c r="O35" s="221">
        <v>8</v>
      </c>
      <c r="P35" s="221">
        <v>8</v>
      </c>
      <c r="Q35" s="221">
        <v>8</v>
      </c>
      <c r="R35" s="221">
        <v>8</v>
      </c>
      <c r="S35" s="221">
        <v>8</v>
      </c>
      <c r="T35" s="221">
        <v>8</v>
      </c>
      <c r="U35" s="221">
        <v>8</v>
      </c>
      <c r="V35" s="221">
        <v>8</v>
      </c>
      <c r="W35" s="221">
        <v>8</v>
      </c>
      <c r="X35" s="221">
        <v>8</v>
      </c>
      <c r="Y35" s="221">
        <v>8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8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173.4</v>
      </c>
      <c r="C37" s="237">
        <f>96.9+78</f>
        <v>174.9</v>
      </c>
      <c r="D37" s="237">
        <f>96.8+77.9</f>
        <v>174.7</v>
      </c>
      <c r="E37" s="237">
        <f>96.8+77.9</f>
        <v>174.7</v>
      </c>
      <c r="F37" s="237">
        <f>96.8+77.9</f>
        <v>174.7</v>
      </c>
      <c r="G37" s="237">
        <f>96.8+77.9</f>
        <v>174.7</v>
      </c>
      <c r="H37" s="237">
        <v>174</v>
      </c>
      <c r="I37" s="237">
        <v>174</v>
      </c>
      <c r="J37" s="237">
        <v>174</v>
      </c>
      <c r="K37" s="237">
        <v>174</v>
      </c>
      <c r="L37" s="237">
        <v>173</v>
      </c>
      <c r="M37" s="237">
        <v>173</v>
      </c>
      <c r="N37" s="237">
        <v>173</v>
      </c>
      <c r="O37" s="237">
        <v>173</v>
      </c>
      <c r="P37" s="237">
        <v>173</v>
      </c>
      <c r="Q37" s="237">
        <v>173</v>
      </c>
      <c r="R37" s="237">
        <v>167</v>
      </c>
      <c r="S37" s="239">
        <v>180</v>
      </c>
      <c r="T37" s="239">
        <v>180</v>
      </c>
      <c r="U37" s="239">
        <v>185</v>
      </c>
      <c r="V37" s="239">
        <v>174.5</v>
      </c>
      <c r="W37" s="239">
        <v>174.5</v>
      </c>
      <c r="X37" s="239">
        <v>174.5</v>
      </c>
      <c r="Y37" s="239">
        <v>174.5</v>
      </c>
      <c r="Z37" s="239">
        <v>176.7</v>
      </c>
      <c r="AA37" s="239">
        <v>176.7</v>
      </c>
      <c r="AB37" s="239">
        <v>176.7</v>
      </c>
      <c r="AC37" s="239">
        <v>176.7</v>
      </c>
      <c r="AD37" s="239">
        <v>176.7</v>
      </c>
      <c r="AE37" s="239">
        <v>176.7</v>
      </c>
      <c r="AF37" s="239">
        <v>183</v>
      </c>
      <c r="AG37" s="235">
        <v>240</v>
      </c>
      <c r="AH37" s="226">
        <f t="shared" si="2"/>
        <v>185</v>
      </c>
      <c r="AI37" s="227">
        <f t="shared" si="3"/>
        <v>167</v>
      </c>
      <c r="AK37" s="228"/>
    </row>
    <row r="38" spans="1:88" ht="15.75" thickBot="1" x14ac:dyDescent="0.3">
      <c r="A38" s="240" t="s">
        <v>46</v>
      </c>
      <c r="B38" s="241">
        <v>788</v>
      </c>
      <c r="C38" s="241">
        <f t="shared" ref="C38:AG38" si="4">SUM(C11:C36)</f>
        <v>774</v>
      </c>
      <c r="D38" s="241">
        <f t="shared" si="4"/>
        <v>763.8</v>
      </c>
      <c r="E38" s="241">
        <f t="shared" si="4"/>
        <v>771.2</v>
      </c>
      <c r="F38" s="241">
        <f t="shared" si="4"/>
        <v>762.2</v>
      </c>
      <c r="G38" s="241">
        <f t="shared" si="4"/>
        <v>762.2</v>
      </c>
      <c r="H38" s="241">
        <f t="shared" si="4"/>
        <v>768.4</v>
      </c>
      <c r="I38" s="241">
        <f t="shared" si="4"/>
        <v>768.4</v>
      </c>
      <c r="J38" s="241">
        <f t="shared" si="4"/>
        <v>768.4</v>
      </c>
      <c r="K38" s="241">
        <f t="shared" si="4"/>
        <v>802.4</v>
      </c>
      <c r="L38" s="241">
        <f t="shared" si="4"/>
        <v>824.4</v>
      </c>
      <c r="M38" s="241">
        <f t="shared" si="4"/>
        <v>832.4</v>
      </c>
      <c r="N38" s="241">
        <f t="shared" si="4"/>
        <v>825.4</v>
      </c>
      <c r="O38" s="241">
        <f t="shared" si="4"/>
        <v>825.4</v>
      </c>
      <c r="P38" s="241">
        <f t="shared" si="4"/>
        <v>825.4</v>
      </c>
      <c r="Q38" s="241">
        <f t="shared" si="4"/>
        <v>825.4</v>
      </c>
      <c r="R38" s="241">
        <f t="shared" si="4"/>
        <v>828.4</v>
      </c>
      <c r="S38" s="241">
        <f t="shared" si="4"/>
        <v>828.4</v>
      </c>
      <c r="T38" s="241">
        <f t="shared" si="4"/>
        <v>828.2</v>
      </c>
      <c r="U38" s="241">
        <f t="shared" si="4"/>
        <v>828.2</v>
      </c>
      <c r="V38" s="241">
        <f t="shared" si="4"/>
        <v>827.9</v>
      </c>
      <c r="W38" s="241">
        <f t="shared" ref="W38:X38" si="5">SUM(W11:W36)</f>
        <v>827.9</v>
      </c>
      <c r="X38" s="241">
        <f t="shared" si="5"/>
        <v>828.2</v>
      </c>
      <c r="Y38" s="241">
        <f t="shared" ref="Y38" si="6">SUM(Y11:Y36)</f>
        <v>830.2</v>
      </c>
      <c r="Z38" s="241">
        <f t="shared" si="4"/>
        <v>846</v>
      </c>
      <c r="AA38" s="241">
        <f t="shared" si="4"/>
        <v>838.8</v>
      </c>
      <c r="AB38" s="241">
        <f t="shared" si="4"/>
        <v>838.8</v>
      </c>
      <c r="AC38" s="241">
        <f t="shared" si="4"/>
        <v>838.8</v>
      </c>
      <c r="AD38" s="241">
        <f t="shared" si="4"/>
        <v>834.8</v>
      </c>
      <c r="AE38" s="241">
        <f t="shared" si="4"/>
        <v>832.8</v>
      </c>
      <c r="AF38" s="241">
        <f t="shared" si="4"/>
        <v>832.8</v>
      </c>
      <c r="AG38" s="242">
        <f t="shared" si="4"/>
        <v>665.78</v>
      </c>
      <c r="AH38" s="226">
        <f t="shared" si="2"/>
        <v>846</v>
      </c>
      <c r="AI38" s="227">
        <f t="shared" si="3"/>
        <v>762.2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v>462</v>
      </c>
      <c r="C42" s="241">
        <f t="shared" ref="C42:AG42" si="7">SUM(C39:C41)</f>
        <v>538</v>
      </c>
      <c r="D42" s="241">
        <f t="shared" si="7"/>
        <v>538</v>
      </c>
      <c r="E42" s="241">
        <f t="shared" si="7"/>
        <v>538</v>
      </c>
      <c r="F42" s="241">
        <f t="shared" si="7"/>
        <v>538</v>
      </c>
      <c r="G42" s="241">
        <f t="shared" si="7"/>
        <v>538</v>
      </c>
      <c r="H42" s="241">
        <f t="shared" si="7"/>
        <v>538</v>
      </c>
      <c r="I42" s="241">
        <f t="shared" si="7"/>
        <v>538</v>
      </c>
      <c r="J42" s="241">
        <f t="shared" si="7"/>
        <v>538</v>
      </c>
      <c r="K42" s="241">
        <f t="shared" si="7"/>
        <v>538</v>
      </c>
      <c r="L42" s="241">
        <f t="shared" si="7"/>
        <v>538</v>
      </c>
      <c r="M42" s="241">
        <f t="shared" si="7"/>
        <v>538</v>
      </c>
      <c r="N42" s="241">
        <f t="shared" si="7"/>
        <v>538</v>
      </c>
      <c r="O42" s="241">
        <f t="shared" si="7"/>
        <v>538</v>
      </c>
      <c r="P42" s="241">
        <f t="shared" si="7"/>
        <v>538</v>
      </c>
      <c r="Q42" s="241">
        <f t="shared" si="7"/>
        <v>538</v>
      </c>
      <c r="R42" s="241">
        <f t="shared" si="7"/>
        <v>538</v>
      </c>
      <c r="S42" s="241">
        <f t="shared" si="7"/>
        <v>538</v>
      </c>
      <c r="T42" s="241">
        <f t="shared" si="7"/>
        <v>538</v>
      </c>
      <c r="U42" s="241">
        <f t="shared" si="7"/>
        <v>538</v>
      </c>
      <c r="V42" s="241">
        <f t="shared" si="7"/>
        <v>538</v>
      </c>
      <c r="W42" s="241">
        <f t="shared" ref="W42:X42" si="8">SUM(W39:W41)</f>
        <v>538</v>
      </c>
      <c r="X42" s="241">
        <f t="shared" si="8"/>
        <v>538</v>
      </c>
      <c r="Y42" s="241">
        <f t="shared" ref="Y42" si="9">SUM(Y39:Y41)</f>
        <v>538</v>
      </c>
      <c r="Z42" s="241">
        <f t="shared" si="7"/>
        <v>538</v>
      </c>
      <c r="AA42" s="241">
        <f t="shared" si="7"/>
        <v>538</v>
      </c>
      <c r="AB42" s="241">
        <f t="shared" si="7"/>
        <v>538</v>
      </c>
      <c r="AC42" s="241">
        <f t="shared" si="7"/>
        <v>538</v>
      </c>
      <c r="AD42" s="241">
        <f t="shared" si="7"/>
        <v>538</v>
      </c>
      <c r="AE42" s="241">
        <f t="shared" si="7"/>
        <v>538</v>
      </c>
      <c r="AF42" s="241">
        <f t="shared" si="7"/>
        <v>538</v>
      </c>
      <c r="AG42" s="242">
        <f t="shared" si="7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142</v>
      </c>
      <c r="C43" s="221">
        <v>142</v>
      </c>
      <c r="D43" s="221">
        <v>141.9</v>
      </c>
      <c r="E43" s="221">
        <v>142</v>
      </c>
      <c r="F43" s="221">
        <v>142</v>
      </c>
      <c r="G43" s="221">
        <v>142</v>
      </c>
      <c r="H43" s="221">
        <v>142</v>
      </c>
      <c r="I43" s="221">
        <v>142</v>
      </c>
      <c r="J43" s="221">
        <v>142</v>
      </c>
      <c r="K43" s="221">
        <v>142</v>
      </c>
      <c r="L43" s="221">
        <v>142</v>
      </c>
      <c r="M43" s="221">
        <v>142</v>
      </c>
      <c r="N43" s="221">
        <v>121</v>
      </c>
      <c r="O43" s="221">
        <v>133</v>
      </c>
      <c r="P43" s="221">
        <v>133</v>
      </c>
      <c r="Q43" s="221">
        <v>141.5</v>
      </c>
      <c r="R43" s="221">
        <v>141.5</v>
      </c>
      <c r="S43" s="221">
        <v>141.5</v>
      </c>
      <c r="T43" s="221">
        <v>141.5</v>
      </c>
      <c r="U43" s="221">
        <v>142.80000000000001</v>
      </c>
      <c r="V43" s="221">
        <v>142.5</v>
      </c>
      <c r="W43" s="221">
        <v>142.5</v>
      </c>
      <c r="X43" s="221">
        <v>142.5</v>
      </c>
      <c r="Y43" s="221">
        <v>142.5</v>
      </c>
      <c r="Z43" s="221">
        <v>142.30000000000001</v>
      </c>
      <c r="AA43" s="221">
        <v>142</v>
      </c>
      <c r="AB43" s="221">
        <v>142</v>
      </c>
      <c r="AC43" s="221">
        <v>142</v>
      </c>
      <c r="AD43" s="221">
        <v>142</v>
      </c>
      <c r="AE43" s="221">
        <v>142</v>
      </c>
      <c r="AF43" s="221">
        <v>142</v>
      </c>
      <c r="AG43" s="230">
        <v>144</v>
      </c>
      <c r="AH43" s="226">
        <f t="shared" si="2"/>
        <v>142.80000000000001</v>
      </c>
      <c r="AI43" s="227">
        <f t="shared" si="3"/>
        <v>121</v>
      </c>
      <c r="AK43" s="228"/>
    </row>
    <row r="44" spans="1:88" x14ac:dyDescent="0.25">
      <c r="A44" s="234" t="s">
        <v>52</v>
      </c>
      <c r="B44" s="245">
        <v>72.5</v>
      </c>
      <c r="C44" s="245">
        <v>72.5</v>
      </c>
      <c r="D44" s="245">
        <v>72.099999999999994</v>
      </c>
      <c r="E44" s="245">
        <v>71.3</v>
      </c>
      <c r="F44" s="245">
        <v>71.3</v>
      </c>
      <c r="G44" s="245">
        <v>71.3</v>
      </c>
      <c r="H44" s="245">
        <v>71</v>
      </c>
      <c r="I44" s="245">
        <v>71</v>
      </c>
      <c r="J44" s="245">
        <v>71</v>
      </c>
      <c r="K44" s="245">
        <v>71</v>
      </c>
      <c r="L44" s="245">
        <v>71</v>
      </c>
      <c r="M44" s="221">
        <v>71</v>
      </c>
      <c r="N44" s="221">
        <v>70</v>
      </c>
      <c r="O44" s="221">
        <v>70</v>
      </c>
      <c r="P44" s="221">
        <v>70</v>
      </c>
      <c r="Q44" s="221">
        <v>70</v>
      </c>
      <c r="R44" s="221">
        <v>72.599999999999994</v>
      </c>
      <c r="S44" s="245">
        <v>72.599999999999994</v>
      </c>
      <c r="T44" s="245">
        <v>71.8</v>
      </c>
      <c r="U44" s="245">
        <v>72.599999999999994</v>
      </c>
      <c r="V44" s="245">
        <v>72.400000000000006</v>
      </c>
      <c r="W44" s="245">
        <v>72.400000000000006</v>
      </c>
      <c r="X44" s="245">
        <v>72.400000000000006</v>
      </c>
      <c r="Y44" s="245">
        <v>72.400000000000006</v>
      </c>
      <c r="Z44" s="245">
        <v>73</v>
      </c>
      <c r="AA44" s="245">
        <v>72.599999999999994</v>
      </c>
      <c r="AB44" s="245">
        <v>72.599999999999994</v>
      </c>
      <c r="AC44" s="245">
        <v>72.599999999999994</v>
      </c>
      <c r="AD44" s="245">
        <v>72.599999999999994</v>
      </c>
      <c r="AE44" s="245">
        <v>72.599999999999994</v>
      </c>
      <c r="AF44" s="245">
        <v>72.599999999999994</v>
      </c>
      <c r="AG44" s="235">
        <v>70</v>
      </c>
      <c r="AH44" s="226">
        <f t="shared" si="2"/>
        <v>73</v>
      </c>
      <c r="AI44" s="227">
        <f t="shared" si="3"/>
        <v>70</v>
      </c>
      <c r="AK44" s="228"/>
    </row>
    <row r="45" spans="1:88" x14ac:dyDescent="0.25">
      <c r="A45" s="234" t="s">
        <v>53</v>
      </c>
      <c r="B45" s="245">
        <v>66.2</v>
      </c>
      <c r="C45" s="245">
        <v>54.9</v>
      </c>
      <c r="D45" s="245">
        <v>64</v>
      </c>
      <c r="E45" s="245">
        <v>62.6</v>
      </c>
      <c r="F45" s="245">
        <v>62.6</v>
      </c>
      <c r="G45" s="245">
        <v>62.6</v>
      </c>
      <c r="H45" s="245">
        <v>62.6</v>
      </c>
      <c r="I45" s="245">
        <v>62.6</v>
      </c>
      <c r="J45" s="245">
        <v>62.6</v>
      </c>
      <c r="K45" s="245">
        <v>62.6</v>
      </c>
      <c r="L45" s="245">
        <v>62.6</v>
      </c>
      <c r="M45" s="221">
        <v>62.6</v>
      </c>
      <c r="N45" s="221">
        <v>63</v>
      </c>
      <c r="O45" s="221">
        <v>63</v>
      </c>
      <c r="P45" s="221">
        <v>63</v>
      </c>
      <c r="Q45" s="221">
        <v>63</v>
      </c>
      <c r="R45" s="221">
        <v>64.7</v>
      </c>
      <c r="S45" s="245">
        <v>64.7</v>
      </c>
      <c r="T45" s="245">
        <v>64.8</v>
      </c>
      <c r="U45" s="245">
        <v>64</v>
      </c>
      <c r="V45" s="245">
        <v>64.8</v>
      </c>
      <c r="W45" s="245">
        <v>64.8</v>
      </c>
      <c r="X45" s="245">
        <v>64.8</v>
      </c>
      <c r="Y45" s="245">
        <v>64.8</v>
      </c>
      <c r="Z45" s="245">
        <v>64.8</v>
      </c>
      <c r="AA45" s="245">
        <v>64.900000000000006</v>
      </c>
      <c r="AB45" s="245">
        <v>64.900000000000006</v>
      </c>
      <c r="AC45" s="245">
        <v>64.900000000000006</v>
      </c>
      <c r="AD45" s="245">
        <v>64.900000000000006</v>
      </c>
      <c r="AE45" s="245">
        <v>64.900000000000006</v>
      </c>
      <c r="AF45" s="245">
        <v>64.900000000000006</v>
      </c>
      <c r="AG45" s="235">
        <v>69</v>
      </c>
      <c r="AH45" s="226">
        <f t="shared" si="2"/>
        <v>66.2</v>
      </c>
      <c r="AI45" s="227">
        <f t="shared" si="3"/>
        <v>54.9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50.6</v>
      </c>
      <c r="E46" s="237">
        <v>60.9</v>
      </c>
      <c r="F46" s="237">
        <v>55</v>
      </c>
      <c r="G46" s="237">
        <v>60</v>
      </c>
      <c r="H46" s="237">
        <v>60</v>
      </c>
      <c r="I46" s="237">
        <v>60</v>
      </c>
      <c r="J46" s="237">
        <v>60</v>
      </c>
      <c r="K46" s="237">
        <v>61.4</v>
      </c>
      <c r="L46" s="237">
        <v>61.4</v>
      </c>
      <c r="M46" s="221">
        <v>61.4</v>
      </c>
      <c r="N46" s="221">
        <v>61.4</v>
      </c>
      <c r="O46" s="221">
        <v>61.4</v>
      </c>
      <c r="P46" s="221">
        <v>61.4</v>
      </c>
      <c r="Q46" s="221">
        <v>61.4</v>
      </c>
      <c r="R46" s="221">
        <v>61.4</v>
      </c>
      <c r="S46" s="221">
        <v>61.4</v>
      </c>
      <c r="T46" s="221">
        <v>61.4</v>
      </c>
      <c r="U46" s="221">
        <v>60.9</v>
      </c>
      <c r="V46" s="245">
        <v>61.2</v>
      </c>
      <c r="W46" s="245">
        <v>61.2</v>
      </c>
      <c r="X46" s="245">
        <v>61.2</v>
      </c>
      <c r="Y46" s="245">
        <v>61.2</v>
      </c>
      <c r="Z46" s="245">
        <v>60.9</v>
      </c>
      <c r="AA46" s="245">
        <v>60.9</v>
      </c>
      <c r="AB46" s="245">
        <v>60.9</v>
      </c>
      <c r="AC46" s="245">
        <v>60.9</v>
      </c>
      <c r="AD46" s="245">
        <v>60.9</v>
      </c>
      <c r="AE46" s="245">
        <v>60.9</v>
      </c>
      <c r="AF46" s="245">
        <v>60.9</v>
      </c>
      <c r="AG46" s="235">
        <v>60</v>
      </c>
      <c r="AH46" s="226">
        <f t="shared" si="2"/>
        <v>61.4</v>
      </c>
      <c r="AI46" s="227">
        <f t="shared" si="3"/>
        <v>50.6</v>
      </c>
      <c r="AK46" s="228"/>
    </row>
    <row r="47" spans="1:88" x14ac:dyDescent="0.25">
      <c r="A47" s="234" t="s">
        <v>55</v>
      </c>
      <c r="B47" s="237">
        <v>15</v>
      </c>
      <c r="C47" s="237">
        <v>15</v>
      </c>
      <c r="D47" s="237">
        <v>15</v>
      </c>
      <c r="E47" s="237">
        <v>15</v>
      </c>
      <c r="F47" s="237">
        <v>15</v>
      </c>
      <c r="G47" s="237">
        <v>15</v>
      </c>
      <c r="H47" s="237">
        <v>15</v>
      </c>
      <c r="I47" s="237">
        <v>15</v>
      </c>
      <c r="J47" s="237">
        <v>15</v>
      </c>
      <c r="K47" s="237">
        <v>15</v>
      </c>
      <c r="L47" s="237">
        <v>15</v>
      </c>
      <c r="M47" s="221">
        <v>15</v>
      </c>
      <c r="N47" s="221">
        <v>15</v>
      </c>
      <c r="O47" s="221">
        <v>15</v>
      </c>
      <c r="P47" s="221">
        <v>15</v>
      </c>
      <c r="Q47" s="221">
        <v>15</v>
      </c>
      <c r="R47" s="221">
        <v>15</v>
      </c>
      <c r="S47" s="221">
        <v>15</v>
      </c>
      <c r="T47" s="221">
        <v>15</v>
      </c>
      <c r="U47" s="221">
        <v>15</v>
      </c>
      <c r="V47" s="221">
        <v>15</v>
      </c>
      <c r="W47" s="221">
        <v>15</v>
      </c>
      <c r="X47" s="221">
        <v>15</v>
      </c>
      <c r="Y47" s="221">
        <v>15</v>
      </c>
      <c r="Z47" s="245">
        <v>30</v>
      </c>
      <c r="AA47" s="245">
        <v>30</v>
      </c>
      <c r="AB47" s="245">
        <v>30</v>
      </c>
      <c r="AC47" s="245">
        <v>30</v>
      </c>
      <c r="AD47" s="245">
        <v>30</v>
      </c>
      <c r="AE47" s="245">
        <v>30</v>
      </c>
      <c r="AF47" s="245">
        <v>30</v>
      </c>
      <c r="AG47" s="235">
        <v>30</v>
      </c>
      <c r="AH47" s="226">
        <f t="shared" si="2"/>
        <v>30</v>
      </c>
      <c r="AI47" s="227">
        <f t="shared" si="3"/>
        <v>15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8</v>
      </c>
      <c r="N48" s="221">
        <v>8</v>
      </c>
      <c r="O48" s="221">
        <v>8</v>
      </c>
      <c r="P48" s="221">
        <v>8</v>
      </c>
      <c r="Q48" s="221">
        <v>8</v>
      </c>
      <c r="R48" s="221">
        <v>8</v>
      </c>
      <c r="S48" s="221">
        <v>8</v>
      </c>
      <c r="T48" s="221">
        <v>8</v>
      </c>
      <c r="U48" s="221">
        <v>8</v>
      </c>
      <c r="V48" s="221">
        <v>8</v>
      </c>
      <c r="W48" s="221">
        <v>8</v>
      </c>
      <c r="X48" s="221">
        <v>8</v>
      </c>
      <c r="Y48" s="221">
        <v>8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8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</v>
      </c>
      <c r="C49" s="245">
        <v>17</v>
      </c>
      <c r="D49" s="245">
        <v>17</v>
      </c>
      <c r="E49" s="245">
        <v>17</v>
      </c>
      <c r="F49" s="245">
        <v>17</v>
      </c>
      <c r="G49" s="245">
        <v>17</v>
      </c>
      <c r="H49" s="245">
        <v>17</v>
      </c>
      <c r="I49" s="245">
        <v>17</v>
      </c>
      <c r="J49" s="245">
        <v>17</v>
      </c>
      <c r="K49" s="245">
        <v>17</v>
      </c>
      <c r="L49" s="245">
        <v>17</v>
      </c>
      <c r="M49" s="221">
        <v>17</v>
      </c>
      <c r="N49" s="221">
        <v>17</v>
      </c>
      <c r="O49" s="221">
        <v>17</v>
      </c>
      <c r="P49" s="221">
        <v>17</v>
      </c>
      <c r="Q49" s="221">
        <v>17</v>
      </c>
      <c r="R49" s="221">
        <v>17</v>
      </c>
      <c r="S49" s="221">
        <v>17</v>
      </c>
      <c r="T49" s="221">
        <v>17</v>
      </c>
      <c r="U49" s="221">
        <v>17</v>
      </c>
      <c r="V49" s="221">
        <v>17</v>
      </c>
      <c r="W49" s="221">
        <v>17</v>
      </c>
      <c r="X49" s="221">
        <v>17</v>
      </c>
      <c r="Y49" s="221">
        <v>17</v>
      </c>
      <c r="Z49" s="221">
        <v>17.8</v>
      </c>
      <c r="AA49" s="221">
        <v>17.8</v>
      </c>
      <c r="AB49" s="221">
        <v>17.8</v>
      </c>
      <c r="AC49" s="221">
        <v>17.8</v>
      </c>
      <c r="AD49" s="221">
        <v>17.8</v>
      </c>
      <c r="AE49" s="221">
        <v>17.8</v>
      </c>
      <c r="AF49" s="221">
        <v>17.8</v>
      </c>
      <c r="AG49" s="235">
        <v>24</v>
      </c>
      <c r="AH49" s="226">
        <f t="shared" si="2"/>
        <v>17.8</v>
      </c>
      <c r="AI49" s="227">
        <f t="shared" si="3"/>
        <v>17</v>
      </c>
      <c r="AK49" s="228"/>
    </row>
    <row r="50" spans="1:41" x14ac:dyDescent="0.25">
      <c r="A50" s="234" t="s">
        <v>58</v>
      </c>
      <c r="B50" s="245">
        <v>2.8</v>
      </c>
      <c r="C50" s="245">
        <v>2.8</v>
      </c>
      <c r="D50" s="245">
        <v>2.8</v>
      </c>
      <c r="E50" s="245">
        <v>2.8</v>
      </c>
      <c r="F50" s="245">
        <v>2.8</v>
      </c>
      <c r="G50" s="245">
        <v>2.8</v>
      </c>
      <c r="H50" s="245">
        <v>2.8</v>
      </c>
      <c r="I50" s="245">
        <v>2.8</v>
      </c>
      <c r="J50" s="245">
        <v>2.8</v>
      </c>
      <c r="K50" s="245">
        <v>2.8</v>
      </c>
      <c r="L50" s="245">
        <v>2.8</v>
      </c>
      <c r="M50" s="221">
        <v>2.8</v>
      </c>
      <c r="N50" s="221">
        <v>2.8</v>
      </c>
      <c r="O50" s="221">
        <v>2.8</v>
      </c>
      <c r="P50" s="221">
        <v>2.8</v>
      </c>
      <c r="Q50" s="221">
        <v>2.8</v>
      </c>
      <c r="R50" s="221">
        <v>2.8</v>
      </c>
      <c r="S50" s="221">
        <v>2.8</v>
      </c>
      <c r="T50" s="221">
        <v>2.8</v>
      </c>
      <c r="U50" s="221">
        <v>2.8</v>
      </c>
      <c r="V50" s="221">
        <v>2.8</v>
      </c>
      <c r="W50" s="221">
        <v>2.8</v>
      </c>
      <c r="X50" s="221">
        <v>2.8</v>
      </c>
      <c r="Y50" s="221">
        <v>2.8</v>
      </c>
      <c r="Z50" s="221">
        <v>2.8</v>
      </c>
      <c r="AA50" s="221">
        <v>2.8</v>
      </c>
      <c r="AB50" s="221">
        <v>2.8</v>
      </c>
      <c r="AC50" s="221">
        <v>2.8</v>
      </c>
      <c r="AD50" s="221">
        <v>2.8</v>
      </c>
      <c r="AE50" s="221">
        <v>2.8</v>
      </c>
      <c r="AF50" s="221">
        <v>2.8</v>
      </c>
      <c r="AG50" s="235">
        <v>15</v>
      </c>
      <c r="AH50" s="226">
        <f t="shared" si="2"/>
        <v>2.8</v>
      </c>
      <c r="AI50" s="227">
        <f t="shared" si="3"/>
        <v>2.8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9.6999999999999993</v>
      </c>
      <c r="C51" s="245">
        <v>9.6999999999999993</v>
      </c>
      <c r="D51" s="245">
        <v>9.1999999999999993</v>
      </c>
      <c r="E51" s="245">
        <v>9.1999999999999993</v>
      </c>
      <c r="F51" s="245">
        <v>9.1999999999999993</v>
      </c>
      <c r="G51" s="245">
        <v>9.1999999999999993</v>
      </c>
      <c r="H51" s="245">
        <v>9.1999999999999993</v>
      </c>
      <c r="I51" s="245">
        <v>9.1999999999999993</v>
      </c>
      <c r="J51" s="245">
        <v>10.6</v>
      </c>
      <c r="K51" s="245">
        <v>10.6</v>
      </c>
      <c r="L51" s="245">
        <v>11.6</v>
      </c>
      <c r="M51" s="221">
        <v>11.6</v>
      </c>
      <c r="N51" s="221">
        <v>11.6</v>
      </c>
      <c r="O51" s="221">
        <v>11.6</v>
      </c>
      <c r="P51" s="221">
        <v>11.6</v>
      </c>
      <c r="Q51" s="221">
        <v>11.6</v>
      </c>
      <c r="R51" s="221">
        <v>11.6</v>
      </c>
      <c r="S51" s="221">
        <v>11.6</v>
      </c>
      <c r="T51" s="221">
        <v>11.6</v>
      </c>
      <c r="U51" s="221">
        <v>11.6</v>
      </c>
      <c r="V51" s="221">
        <v>11.6</v>
      </c>
      <c r="W51" s="221">
        <v>11.6</v>
      </c>
      <c r="X51" s="221">
        <v>11.6</v>
      </c>
      <c r="Y51" s="221">
        <v>11.6</v>
      </c>
      <c r="Z51" s="221">
        <v>4.8</v>
      </c>
      <c r="AA51" s="221">
        <v>4.8</v>
      </c>
      <c r="AB51" s="221">
        <v>4.8</v>
      </c>
      <c r="AC51" s="221">
        <v>4.8</v>
      </c>
      <c r="AD51" s="221">
        <v>4.8</v>
      </c>
      <c r="AE51" s="221">
        <v>4.8</v>
      </c>
      <c r="AF51" s="221">
        <v>4.8</v>
      </c>
      <c r="AG51" s="235">
        <v>14.1</v>
      </c>
      <c r="AH51" s="226">
        <f t="shared" si="2"/>
        <v>11.6</v>
      </c>
      <c r="AI51" s="227">
        <f t="shared" si="3"/>
        <v>4.8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21">
        <v>14</v>
      </c>
      <c r="N52" s="221">
        <v>14</v>
      </c>
      <c r="O52" s="221">
        <v>14</v>
      </c>
      <c r="P52" s="221">
        <v>14</v>
      </c>
      <c r="Q52" s="221">
        <v>14</v>
      </c>
      <c r="R52" s="221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21">
        <v>14</v>
      </c>
      <c r="AD52" s="221">
        <v>14</v>
      </c>
      <c r="AE52" s="221">
        <v>14</v>
      </c>
      <c r="AF52" s="221">
        <v>14</v>
      </c>
      <c r="AG52" s="235">
        <v>14</v>
      </c>
      <c r="AH52" s="226">
        <f t="shared" si="2"/>
        <v>14</v>
      </c>
      <c r="AI52" s="227">
        <f t="shared" si="3"/>
        <v>14</v>
      </c>
      <c r="AK52" s="228"/>
    </row>
    <row r="53" spans="1:41" x14ac:dyDescent="0.25">
      <c r="A53" s="234" t="s">
        <v>61</v>
      </c>
      <c r="B53" s="245">
        <v>9.5</v>
      </c>
      <c r="C53" s="245">
        <v>9.5</v>
      </c>
      <c r="D53" s="245">
        <v>9.5</v>
      </c>
      <c r="E53" s="245">
        <v>9.5</v>
      </c>
      <c r="F53" s="245">
        <v>9.5</v>
      </c>
      <c r="G53" s="245">
        <v>9.5</v>
      </c>
      <c r="H53" s="245">
        <v>9.5</v>
      </c>
      <c r="I53" s="245">
        <v>9.5</v>
      </c>
      <c r="J53" s="245">
        <v>9.5</v>
      </c>
      <c r="K53" s="245">
        <v>9.5</v>
      </c>
      <c r="L53" s="245">
        <v>9.5</v>
      </c>
      <c r="M53" s="221">
        <v>9.5</v>
      </c>
      <c r="N53" s="221">
        <v>9.5</v>
      </c>
      <c r="O53" s="221">
        <v>9.5</v>
      </c>
      <c r="P53" s="221">
        <v>9.5</v>
      </c>
      <c r="Q53" s="221">
        <v>9.5</v>
      </c>
      <c r="R53" s="221">
        <v>9.5</v>
      </c>
      <c r="S53" s="221">
        <v>9.5</v>
      </c>
      <c r="T53" s="221">
        <v>6.5</v>
      </c>
      <c r="U53" s="221">
        <v>6.5</v>
      </c>
      <c r="V53" s="221">
        <v>6.5</v>
      </c>
      <c r="W53" s="221">
        <v>6.5</v>
      </c>
      <c r="X53" s="221">
        <v>6.5</v>
      </c>
      <c r="Y53" s="221">
        <v>6.5</v>
      </c>
      <c r="Z53" s="221">
        <v>6.3</v>
      </c>
      <c r="AA53" s="221">
        <v>6.3</v>
      </c>
      <c r="AB53" s="221">
        <v>6.3</v>
      </c>
      <c r="AC53" s="221">
        <v>6.3</v>
      </c>
      <c r="AD53" s="221">
        <v>6.3</v>
      </c>
      <c r="AE53" s="221">
        <v>6.3</v>
      </c>
      <c r="AF53" s="221">
        <v>6.3</v>
      </c>
      <c r="AG53" s="235">
        <v>10.050000000000001</v>
      </c>
      <c r="AH53" s="226">
        <f t="shared" si="2"/>
        <v>9.5</v>
      </c>
      <c r="AI53" s="227">
        <f t="shared" si="3"/>
        <v>6.3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21">
        <v>6.2</v>
      </c>
      <c r="N54" s="221">
        <v>6.2</v>
      </c>
      <c r="O54" s="221">
        <v>6.2</v>
      </c>
      <c r="P54" s="221">
        <v>6.2</v>
      </c>
      <c r="Q54" s="221">
        <v>6.2</v>
      </c>
      <c r="R54" s="221">
        <v>6.2</v>
      </c>
      <c r="S54" s="221">
        <v>6.2</v>
      </c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v>416.04</v>
      </c>
      <c r="C56" s="241">
        <f t="shared" ref="C56:AG56" si="10">SUM(C43:C55)</f>
        <v>407.53999999999996</v>
      </c>
      <c r="D56" s="241">
        <f t="shared" si="10"/>
        <v>405.84000000000003</v>
      </c>
      <c r="E56" s="241">
        <f t="shared" si="10"/>
        <v>414.04</v>
      </c>
      <c r="F56" s="241">
        <f t="shared" si="10"/>
        <v>408.14000000000004</v>
      </c>
      <c r="G56" s="241">
        <f t="shared" si="10"/>
        <v>413.14000000000004</v>
      </c>
      <c r="H56" s="241">
        <f t="shared" si="10"/>
        <v>412.84000000000003</v>
      </c>
      <c r="I56" s="241">
        <f t="shared" si="10"/>
        <v>412.84000000000003</v>
      </c>
      <c r="J56" s="241">
        <f t="shared" si="10"/>
        <v>414.24000000000007</v>
      </c>
      <c r="K56" s="241">
        <f t="shared" si="10"/>
        <v>415.64000000000004</v>
      </c>
      <c r="L56" s="241">
        <f t="shared" si="10"/>
        <v>416.64000000000004</v>
      </c>
      <c r="M56" s="241">
        <f t="shared" si="10"/>
        <v>424.64000000000004</v>
      </c>
      <c r="N56" s="241">
        <f t="shared" si="10"/>
        <v>403.04</v>
      </c>
      <c r="O56" s="241">
        <f t="shared" si="10"/>
        <v>415.04</v>
      </c>
      <c r="P56" s="241">
        <f t="shared" si="10"/>
        <v>415.04</v>
      </c>
      <c r="Q56" s="241">
        <f t="shared" si="10"/>
        <v>423.54</v>
      </c>
      <c r="R56" s="241">
        <f t="shared" si="10"/>
        <v>427.84000000000003</v>
      </c>
      <c r="S56" s="241">
        <f t="shared" si="10"/>
        <v>427.84000000000003</v>
      </c>
      <c r="T56" s="241">
        <f t="shared" si="10"/>
        <v>424.14000000000004</v>
      </c>
      <c r="U56" s="241">
        <f t="shared" si="10"/>
        <v>424.94</v>
      </c>
      <c r="V56" s="241">
        <f t="shared" si="10"/>
        <v>425.54</v>
      </c>
      <c r="W56" s="241">
        <f t="shared" ref="W56:X56" si="11">SUM(W43:W55)</f>
        <v>425.54</v>
      </c>
      <c r="X56" s="241">
        <f t="shared" si="11"/>
        <v>425.54</v>
      </c>
      <c r="Y56" s="241">
        <f t="shared" ref="Y56" si="12">SUM(Y43:Y55)</f>
        <v>425.54</v>
      </c>
      <c r="Z56" s="241">
        <f t="shared" si="10"/>
        <v>426.44000000000005</v>
      </c>
      <c r="AA56" s="241">
        <f t="shared" si="10"/>
        <v>425.84000000000003</v>
      </c>
      <c r="AB56" s="241">
        <f t="shared" si="10"/>
        <v>425.84000000000003</v>
      </c>
      <c r="AC56" s="241">
        <f t="shared" si="10"/>
        <v>425.84000000000003</v>
      </c>
      <c r="AD56" s="241">
        <f t="shared" si="10"/>
        <v>425.84000000000003</v>
      </c>
      <c r="AE56" s="241">
        <f t="shared" si="10"/>
        <v>425.84000000000003</v>
      </c>
      <c r="AF56" s="241">
        <f t="shared" si="10"/>
        <v>425.84000000000003</v>
      </c>
      <c r="AG56" s="242">
        <f t="shared" si="10"/>
        <v>489.91</v>
      </c>
      <c r="AH56" s="226">
        <f t="shared" si="2"/>
        <v>427.84000000000003</v>
      </c>
      <c r="AI56" s="227">
        <f t="shared" si="3"/>
        <v>403.04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10</v>
      </c>
      <c r="AA57" s="221">
        <v>10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10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4.2</v>
      </c>
      <c r="AA58" s="245">
        <v>4.2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4.2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1.5</v>
      </c>
      <c r="AA59" s="247">
        <v>1.5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1.5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v>0</v>
      </c>
      <c r="C60" s="241">
        <f t="shared" ref="C60:AG60" si="13">SUM(C57:C59)</f>
        <v>0</v>
      </c>
      <c r="D60" s="241">
        <f t="shared" si="13"/>
        <v>0</v>
      </c>
      <c r="E60" s="241">
        <f t="shared" si="13"/>
        <v>0</v>
      </c>
      <c r="F60" s="241">
        <f t="shared" si="13"/>
        <v>0</v>
      </c>
      <c r="G60" s="241">
        <f t="shared" si="13"/>
        <v>0</v>
      </c>
      <c r="H60" s="241">
        <f t="shared" si="13"/>
        <v>0</v>
      </c>
      <c r="I60" s="241">
        <f t="shared" si="13"/>
        <v>0</v>
      </c>
      <c r="J60" s="241">
        <f t="shared" si="13"/>
        <v>0</v>
      </c>
      <c r="K60" s="241">
        <f t="shared" si="13"/>
        <v>0</v>
      </c>
      <c r="L60" s="241">
        <f t="shared" si="13"/>
        <v>0</v>
      </c>
      <c r="M60" s="241">
        <f t="shared" si="13"/>
        <v>0</v>
      </c>
      <c r="N60" s="241">
        <f t="shared" si="13"/>
        <v>0</v>
      </c>
      <c r="O60" s="241">
        <f t="shared" si="13"/>
        <v>0</v>
      </c>
      <c r="P60" s="241">
        <f t="shared" si="13"/>
        <v>0</v>
      </c>
      <c r="Q60" s="241">
        <f t="shared" si="13"/>
        <v>0</v>
      </c>
      <c r="R60" s="241">
        <f t="shared" si="13"/>
        <v>0</v>
      </c>
      <c r="S60" s="241">
        <f t="shared" si="13"/>
        <v>0</v>
      </c>
      <c r="T60" s="241">
        <f t="shared" si="13"/>
        <v>0</v>
      </c>
      <c r="U60" s="241">
        <f t="shared" si="13"/>
        <v>0</v>
      </c>
      <c r="V60" s="241">
        <f t="shared" si="13"/>
        <v>0</v>
      </c>
      <c r="W60" s="241">
        <f t="shared" ref="W60:X60" si="14">SUM(W57:W59)</f>
        <v>0</v>
      </c>
      <c r="X60" s="241">
        <f t="shared" si="14"/>
        <v>0</v>
      </c>
      <c r="Y60" s="241">
        <f t="shared" ref="Y60" si="15">SUM(Y57:Y59)</f>
        <v>0</v>
      </c>
      <c r="Z60" s="241">
        <f t="shared" si="13"/>
        <v>15.7</v>
      </c>
      <c r="AA60" s="241">
        <f t="shared" si="13"/>
        <v>15.7</v>
      </c>
      <c r="AB60" s="241">
        <f t="shared" si="13"/>
        <v>0</v>
      </c>
      <c r="AC60" s="241">
        <f t="shared" si="13"/>
        <v>0</v>
      </c>
      <c r="AD60" s="241">
        <f t="shared" si="13"/>
        <v>0</v>
      </c>
      <c r="AE60" s="241">
        <f t="shared" si="13"/>
        <v>0</v>
      </c>
      <c r="AF60" s="241">
        <f t="shared" si="13"/>
        <v>0</v>
      </c>
      <c r="AG60" s="242">
        <f t="shared" si="13"/>
        <v>106</v>
      </c>
      <c r="AH60" s="226">
        <f t="shared" si="2"/>
        <v>15.7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24.9</v>
      </c>
      <c r="D61" s="221">
        <v>24.3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35</v>
      </c>
      <c r="P61" s="221">
        <v>52</v>
      </c>
      <c r="Q61" s="221">
        <v>66.599999999999994</v>
      </c>
      <c r="R61" s="221">
        <v>36.700000000000003</v>
      </c>
      <c r="S61" s="221">
        <v>47</v>
      </c>
      <c r="T61" s="221">
        <v>28.9</v>
      </c>
      <c r="U61" s="221">
        <v>24.5</v>
      </c>
      <c r="V61" s="221">
        <v>30</v>
      </c>
      <c r="W61" s="221">
        <v>0</v>
      </c>
      <c r="X61" s="221">
        <v>0</v>
      </c>
      <c r="Y61" s="221">
        <v>0</v>
      </c>
      <c r="Z61" s="221">
        <v>56.1</v>
      </c>
      <c r="AA61" s="221">
        <v>53.2</v>
      </c>
      <c r="AB61" s="221">
        <v>38</v>
      </c>
      <c r="AC61" s="221">
        <v>44</v>
      </c>
      <c r="AD61" s="221">
        <v>61</v>
      </c>
      <c r="AE61" s="221">
        <v>58</v>
      </c>
      <c r="AF61" s="221">
        <v>39</v>
      </c>
      <c r="AG61" s="230"/>
      <c r="AH61" s="226">
        <f t="shared" si="2"/>
        <v>66.599999999999994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-375.4</v>
      </c>
      <c r="C63" s="245">
        <v>-397.7</v>
      </c>
      <c r="D63" s="245">
        <v>-398.7</v>
      </c>
      <c r="E63" s="245">
        <v>-411</v>
      </c>
      <c r="F63" s="245">
        <v>-422</v>
      </c>
      <c r="G63" s="245">
        <v>-411</v>
      </c>
      <c r="H63" s="245">
        <v>-406</v>
      </c>
      <c r="I63" s="245">
        <v>-443</v>
      </c>
      <c r="J63" s="245">
        <v>-390</v>
      </c>
      <c r="K63" s="245">
        <v>-375</v>
      </c>
      <c r="L63" s="245">
        <v>-365</v>
      </c>
      <c r="M63" s="245">
        <v>-386</v>
      </c>
      <c r="N63" s="245">
        <v>-360</v>
      </c>
      <c r="O63" s="245">
        <v>-370</v>
      </c>
      <c r="P63" s="245">
        <v>-380</v>
      </c>
      <c r="Q63" s="245">
        <v>-390</v>
      </c>
      <c r="R63" s="245">
        <v>-300</v>
      </c>
      <c r="S63" s="245">
        <v>-372</v>
      </c>
      <c r="T63" s="245">
        <v>-316.60000000000002</v>
      </c>
      <c r="U63" s="245">
        <v>-377</v>
      </c>
      <c r="V63" s="245">
        <v>-400</v>
      </c>
      <c r="W63" s="245">
        <v>-384</v>
      </c>
      <c r="X63" s="245">
        <v>-384</v>
      </c>
      <c r="Y63" s="245">
        <v>-275</v>
      </c>
      <c r="Z63" s="245">
        <v>-225.2</v>
      </c>
      <c r="AA63" s="245">
        <v>-248</v>
      </c>
      <c r="AB63" s="245">
        <v>-261</v>
      </c>
      <c r="AC63" s="245">
        <v>-250</v>
      </c>
      <c r="AD63" s="245">
        <v>-281</v>
      </c>
      <c r="AE63" s="245">
        <v>-350</v>
      </c>
      <c r="AF63" s="245">
        <v>-380</v>
      </c>
      <c r="AG63" s="255"/>
      <c r="AH63" s="226">
        <f t="shared" si="2"/>
        <v>-225.2</v>
      </c>
      <c r="AI63" s="227">
        <f t="shared" si="3"/>
        <v>-443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6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5</v>
      </c>
      <c r="P66" s="257">
        <v>5</v>
      </c>
      <c r="Q66" s="257">
        <v>5</v>
      </c>
      <c r="R66" s="257">
        <v>5</v>
      </c>
      <c r="S66" s="257">
        <v>5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>
        <v>8</v>
      </c>
      <c r="AA66" s="257">
        <v>8</v>
      </c>
      <c r="AB66" s="257">
        <v>8</v>
      </c>
      <c r="AC66" s="257">
        <v>8</v>
      </c>
      <c r="AD66" s="257">
        <v>8</v>
      </c>
      <c r="AE66" s="257">
        <v>5</v>
      </c>
      <c r="AF66" s="257">
        <v>5</v>
      </c>
      <c r="AG66" s="255"/>
      <c r="AH66" s="226">
        <f t="shared" si="2"/>
        <v>8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v>22.3</v>
      </c>
      <c r="C72" s="241">
        <f t="shared" ref="C72:L72" si="16">SUMIF(C61:C71,"&gt;0")</f>
        <v>24.9</v>
      </c>
      <c r="D72" s="241">
        <f t="shared" si="16"/>
        <v>24.3</v>
      </c>
      <c r="E72" s="241">
        <f t="shared" si="16"/>
        <v>0</v>
      </c>
      <c r="F72" s="241">
        <f t="shared" si="16"/>
        <v>0</v>
      </c>
      <c r="G72" s="241">
        <f t="shared" si="16"/>
        <v>0</v>
      </c>
      <c r="H72" s="241">
        <f t="shared" si="16"/>
        <v>0</v>
      </c>
      <c r="I72" s="241">
        <f t="shared" si="16"/>
        <v>0</v>
      </c>
      <c r="J72" s="241">
        <f t="shared" si="16"/>
        <v>0</v>
      </c>
      <c r="K72" s="241">
        <f t="shared" si="16"/>
        <v>0</v>
      </c>
      <c r="L72" s="241">
        <f t="shared" si="16"/>
        <v>0</v>
      </c>
      <c r="M72" s="241">
        <f>SUMIF(M61:M71,"&gt;0")</f>
        <v>0</v>
      </c>
      <c r="N72" s="241">
        <f t="shared" ref="N72:AF72" si="17">SUMIF(N61:N71,"&gt;0")</f>
        <v>0</v>
      </c>
      <c r="O72" s="241">
        <f t="shared" si="17"/>
        <v>40</v>
      </c>
      <c r="P72" s="241">
        <f t="shared" si="17"/>
        <v>57</v>
      </c>
      <c r="Q72" s="241">
        <f t="shared" si="17"/>
        <v>71.599999999999994</v>
      </c>
      <c r="R72" s="241">
        <f t="shared" si="17"/>
        <v>41.7</v>
      </c>
      <c r="S72" s="241">
        <f t="shared" si="17"/>
        <v>52</v>
      </c>
      <c r="T72" s="241">
        <f t="shared" si="17"/>
        <v>33.9</v>
      </c>
      <c r="U72" s="241">
        <f t="shared" si="17"/>
        <v>29.5</v>
      </c>
      <c r="V72" s="241">
        <f t="shared" si="17"/>
        <v>35</v>
      </c>
      <c r="W72" s="241">
        <f t="shared" ref="W72:X72" si="18">SUMIF(W61:W71,"&gt;0")</f>
        <v>5</v>
      </c>
      <c r="X72" s="241">
        <f t="shared" si="18"/>
        <v>5</v>
      </c>
      <c r="Y72" s="241">
        <f t="shared" ref="Y72" si="19">SUMIF(Y61:Y71,"&gt;0")</f>
        <v>5</v>
      </c>
      <c r="Z72" s="241">
        <f t="shared" si="17"/>
        <v>64.099999999999994</v>
      </c>
      <c r="AA72" s="241">
        <f t="shared" si="17"/>
        <v>61.2</v>
      </c>
      <c r="AB72" s="241">
        <f t="shared" si="17"/>
        <v>46</v>
      </c>
      <c r="AC72" s="241">
        <f t="shared" si="17"/>
        <v>52</v>
      </c>
      <c r="AD72" s="241">
        <f t="shared" si="17"/>
        <v>69</v>
      </c>
      <c r="AE72" s="241">
        <f t="shared" si="17"/>
        <v>63</v>
      </c>
      <c r="AF72" s="241">
        <f t="shared" si="17"/>
        <v>44</v>
      </c>
      <c r="AG72" s="261">
        <f>SUM(AG61:AG71)</f>
        <v>0</v>
      </c>
      <c r="AH72" s="226">
        <f t="shared" si="2"/>
        <v>71.599999999999994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>
        <v>6</v>
      </c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6</v>
      </c>
      <c r="AI74" s="227">
        <f t="shared" si="3"/>
        <v>6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v>1688.34</v>
      </c>
      <c r="C77" s="263">
        <f t="shared" ref="C77:AF77" si="20">C38+C42+C60+C56+C72+C76</f>
        <v>1744.44</v>
      </c>
      <c r="D77" s="263">
        <f t="shared" si="20"/>
        <v>1731.9399999999998</v>
      </c>
      <c r="E77" s="263">
        <f t="shared" si="20"/>
        <v>1723.24</v>
      </c>
      <c r="F77" s="263">
        <f t="shared" si="20"/>
        <v>1708.3400000000001</v>
      </c>
      <c r="G77" s="263">
        <f t="shared" si="20"/>
        <v>1713.3400000000001</v>
      </c>
      <c r="H77" s="263">
        <f t="shared" si="20"/>
        <v>1719.2400000000002</v>
      </c>
      <c r="I77" s="263">
        <f t="shared" si="20"/>
        <v>1719.2400000000002</v>
      </c>
      <c r="J77" s="263">
        <f t="shared" si="20"/>
        <v>1720.64</v>
      </c>
      <c r="K77" s="263">
        <f t="shared" si="20"/>
        <v>1756.0400000000002</v>
      </c>
      <c r="L77" s="263">
        <f t="shared" si="20"/>
        <v>1779.0400000000002</v>
      </c>
      <c r="M77" s="263">
        <f t="shared" si="20"/>
        <v>1795.0400000000002</v>
      </c>
      <c r="N77" s="263">
        <f t="shared" si="20"/>
        <v>1766.44</v>
      </c>
      <c r="O77" s="263">
        <f t="shared" si="20"/>
        <v>1818.44</v>
      </c>
      <c r="P77" s="263">
        <f t="shared" si="20"/>
        <v>1835.44</v>
      </c>
      <c r="Q77" s="263">
        <f t="shared" si="20"/>
        <v>1858.54</v>
      </c>
      <c r="R77" s="263">
        <f t="shared" si="20"/>
        <v>1835.9400000000003</v>
      </c>
      <c r="S77" s="263">
        <f t="shared" si="20"/>
        <v>1846.2400000000002</v>
      </c>
      <c r="T77" s="263">
        <f t="shared" si="20"/>
        <v>1824.2400000000002</v>
      </c>
      <c r="U77" s="263">
        <f t="shared" si="20"/>
        <v>1820.64</v>
      </c>
      <c r="V77" s="263">
        <f t="shared" si="20"/>
        <v>1826.44</v>
      </c>
      <c r="W77" s="263">
        <f t="shared" ref="W77:X77" si="21">W38+W42+W60+W56+W72+W76</f>
        <v>1796.44</v>
      </c>
      <c r="X77" s="263">
        <f t="shared" si="21"/>
        <v>1796.74</v>
      </c>
      <c r="Y77" s="263">
        <f t="shared" ref="Y77" si="22">Y38+Y42+Y60+Y56+Y72+Y76</f>
        <v>1798.74</v>
      </c>
      <c r="Z77" s="263">
        <f t="shared" si="20"/>
        <v>1890.24</v>
      </c>
      <c r="AA77" s="263">
        <f t="shared" si="20"/>
        <v>1879.5400000000002</v>
      </c>
      <c r="AB77" s="263">
        <f t="shared" si="20"/>
        <v>1848.6399999999999</v>
      </c>
      <c r="AC77" s="263">
        <f t="shared" si="20"/>
        <v>1854.6399999999999</v>
      </c>
      <c r="AD77" s="263">
        <f t="shared" si="20"/>
        <v>1867.6399999999999</v>
      </c>
      <c r="AE77" s="263">
        <f t="shared" si="20"/>
        <v>1859.6399999999999</v>
      </c>
      <c r="AF77" s="263">
        <f t="shared" si="20"/>
        <v>1840.6399999999999</v>
      </c>
      <c r="AG77" s="242">
        <f>AG38+AG42+AG60+AG56+AG72+AG76</f>
        <v>1855.1900000000003</v>
      </c>
      <c r="AH77" s="226">
        <f t="shared" si="2"/>
        <v>1890.24</v>
      </c>
      <c r="AI77" s="227">
        <f t="shared" si="3"/>
        <v>1688.34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v>1688.34</v>
      </c>
      <c r="C79" s="263">
        <f t="shared" ref="C79:AF79" si="23">C77+C78</f>
        <v>1744.44</v>
      </c>
      <c r="D79" s="263">
        <f t="shared" si="23"/>
        <v>1731.9399999999998</v>
      </c>
      <c r="E79" s="263">
        <f t="shared" si="23"/>
        <v>1723.24</v>
      </c>
      <c r="F79" s="263">
        <f t="shared" si="23"/>
        <v>1708.3400000000001</v>
      </c>
      <c r="G79" s="263">
        <f t="shared" si="23"/>
        <v>1713.3400000000001</v>
      </c>
      <c r="H79" s="263">
        <f t="shared" si="23"/>
        <v>1719.2400000000002</v>
      </c>
      <c r="I79" s="263">
        <f t="shared" si="23"/>
        <v>1719.2400000000002</v>
      </c>
      <c r="J79" s="263">
        <f t="shared" si="23"/>
        <v>1720.64</v>
      </c>
      <c r="K79" s="263">
        <f t="shared" si="23"/>
        <v>1756.0400000000002</v>
      </c>
      <c r="L79" s="263">
        <f t="shared" si="23"/>
        <v>1779.0400000000002</v>
      </c>
      <c r="M79" s="263">
        <f t="shared" si="23"/>
        <v>1795.0400000000002</v>
      </c>
      <c r="N79" s="263">
        <f t="shared" si="23"/>
        <v>1766.44</v>
      </c>
      <c r="O79" s="263">
        <f t="shared" si="23"/>
        <v>1818.44</v>
      </c>
      <c r="P79" s="263">
        <f t="shared" si="23"/>
        <v>1835.44</v>
      </c>
      <c r="Q79" s="263">
        <f t="shared" si="23"/>
        <v>1858.54</v>
      </c>
      <c r="R79" s="263">
        <f t="shared" si="23"/>
        <v>1835.9400000000003</v>
      </c>
      <c r="S79" s="263">
        <f t="shared" si="23"/>
        <v>1846.2400000000002</v>
      </c>
      <c r="T79" s="263">
        <f t="shared" si="23"/>
        <v>1824.2400000000002</v>
      </c>
      <c r="U79" s="263">
        <f t="shared" si="23"/>
        <v>1820.64</v>
      </c>
      <c r="V79" s="263">
        <f t="shared" si="23"/>
        <v>1826.44</v>
      </c>
      <c r="W79" s="263">
        <f t="shared" ref="W79:X79" si="24">W77+W78</f>
        <v>1796.44</v>
      </c>
      <c r="X79" s="263">
        <f t="shared" si="24"/>
        <v>1796.74</v>
      </c>
      <c r="Y79" s="263">
        <f t="shared" ref="Y79" si="25">Y77+Y78</f>
        <v>1798.74</v>
      </c>
      <c r="Z79" s="263">
        <f t="shared" si="23"/>
        <v>1890.24</v>
      </c>
      <c r="AA79" s="263">
        <f t="shared" si="23"/>
        <v>1879.5400000000002</v>
      </c>
      <c r="AB79" s="263">
        <f t="shared" si="23"/>
        <v>1848.6399999999999</v>
      </c>
      <c r="AC79" s="263">
        <f t="shared" si="23"/>
        <v>1854.6399999999999</v>
      </c>
      <c r="AD79" s="263">
        <f t="shared" si="23"/>
        <v>1867.6399999999999</v>
      </c>
      <c r="AE79" s="263">
        <f t="shared" si="23"/>
        <v>1859.6399999999999</v>
      </c>
      <c r="AF79" s="263">
        <f t="shared" si="23"/>
        <v>1840.6399999999999</v>
      </c>
      <c r="AG79" s="261">
        <f>AG76+AG72+AG60+AG56+AG38+AG78</f>
        <v>1317.0900000000001</v>
      </c>
      <c r="AH79" s="226">
        <f t="shared" si="2"/>
        <v>1890.24</v>
      </c>
      <c r="AI79" s="227">
        <f t="shared" si="3"/>
        <v>1688.34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v>1383.34</v>
      </c>
      <c r="C80" s="263">
        <f t="shared" ref="C80:AF80" si="26">C79-C87</f>
        <v>1346.74</v>
      </c>
      <c r="D80" s="263">
        <f t="shared" si="26"/>
        <v>1333.2399999999998</v>
      </c>
      <c r="E80" s="263">
        <f t="shared" si="26"/>
        <v>1312.24</v>
      </c>
      <c r="F80" s="263">
        <f t="shared" si="26"/>
        <v>1286.3400000000001</v>
      </c>
      <c r="G80" s="263">
        <f t="shared" si="26"/>
        <v>1302.3400000000001</v>
      </c>
      <c r="H80" s="263">
        <f t="shared" si="26"/>
        <v>1313.2400000000002</v>
      </c>
      <c r="I80" s="263">
        <f t="shared" si="26"/>
        <v>1276.2400000000002</v>
      </c>
      <c r="J80" s="263">
        <f t="shared" si="26"/>
        <v>1330.64</v>
      </c>
      <c r="K80" s="263">
        <f t="shared" si="26"/>
        <v>1381.0400000000002</v>
      </c>
      <c r="L80" s="263">
        <f t="shared" si="26"/>
        <v>1414.0400000000002</v>
      </c>
      <c r="M80" s="263">
        <f t="shared" si="26"/>
        <v>1409.0400000000002</v>
      </c>
      <c r="N80" s="263">
        <f t="shared" si="26"/>
        <v>1406.44</v>
      </c>
      <c r="O80" s="263">
        <f t="shared" si="26"/>
        <v>1448.44</v>
      </c>
      <c r="P80" s="263">
        <f t="shared" si="26"/>
        <v>1455.44</v>
      </c>
      <c r="Q80" s="263">
        <f t="shared" si="26"/>
        <v>1468.54</v>
      </c>
      <c r="R80" s="263">
        <f t="shared" si="26"/>
        <v>1535.9400000000003</v>
      </c>
      <c r="S80" s="263">
        <f t="shared" si="26"/>
        <v>1474.2400000000002</v>
      </c>
      <c r="T80" s="263">
        <f t="shared" si="26"/>
        <v>1507.6400000000003</v>
      </c>
      <c r="U80" s="263">
        <f t="shared" si="26"/>
        <v>1443.64</v>
      </c>
      <c r="V80" s="263">
        <f t="shared" si="26"/>
        <v>1426.44</v>
      </c>
      <c r="W80" s="263">
        <f t="shared" ref="W80:X80" si="27">W79-W87</f>
        <v>1412.44</v>
      </c>
      <c r="X80" s="263">
        <f t="shared" si="27"/>
        <v>1412.74</v>
      </c>
      <c r="Y80" s="263">
        <f t="shared" ref="Y80" si="28">Y79-Y87</f>
        <v>1523.74</v>
      </c>
      <c r="Z80" s="263">
        <f t="shared" si="26"/>
        <v>1665.04</v>
      </c>
      <c r="AA80" s="263">
        <f t="shared" si="26"/>
        <v>1631.5400000000002</v>
      </c>
      <c r="AB80" s="263">
        <f t="shared" si="26"/>
        <v>1587.6399999999999</v>
      </c>
      <c r="AC80" s="263">
        <f t="shared" si="26"/>
        <v>1604.6399999999999</v>
      </c>
      <c r="AD80" s="263">
        <f t="shared" si="26"/>
        <v>1586.6399999999999</v>
      </c>
      <c r="AE80" s="263">
        <f t="shared" si="26"/>
        <v>1509.6399999999999</v>
      </c>
      <c r="AF80" s="263">
        <f t="shared" si="26"/>
        <v>1460.6399999999999</v>
      </c>
      <c r="AG80" s="261"/>
      <c r="AH80" s="226">
        <f t="shared" ref="AH80:AH97" si="29">MAX(B80:AF80)</f>
        <v>1665.04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v>0</v>
      </c>
      <c r="C81" s="256">
        <f t="shared" ref="C81:AF81" si="30">IF(C64&lt;0,C64*-1,0)</f>
        <v>0</v>
      </c>
      <c r="D81" s="256">
        <f t="shared" si="30"/>
        <v>0</v>
      </c>
      <c r="E81" s="256">
        <f t="shared" si="30"/>
        <v>0</v>
      </c>
      <c r="F81" s="256">
        <f t="shared" si="30"/>
        <v>0</v>
      </c>
      <c r="G81" s="256">
        <f t="shared" si="30"/>
        <v>0</v>
      </c>
      <c r="H81" s="256">
        <f t="shared" si="30"/>
        <v>0</v>
      </c>
      <c r="I81" s="256">
        <f t="shared" si="30"/>
        <v>0</v>
      </c>
      <c r="J81" s="256">
        <f t="shared" si="30"/>
        <v>0</v>
      </c>
      <c r="K81" s="256">
        <f t="shared" si="30"/>
        <v>0</v>
      </c>
      <c r="L81" s="256">
        <f t="shared" si="30"/>
        <v>0</v>
      </c>
      <c r="M81" s="256">
        <f t="shared" si="30"/>
        <v>0</v>
      </c>
      <c r="N81" s="256">
        <f t="shared" si="30"/>
        <v>0</v>
      </c>
      <c r="O81" s="256">
        <f t="shared" si="30"/>
        <v>0</v>
      </c>
      <c r="P81" s="256">
        <f t="shared" si="30"/>
        <v>0</v>
      </c>
      <c r="Q81" s="256">
        <f t="shared" si="30"/>
        <v>0</v>
      </c>
      <c r="R81" s="256">
        <f t="shared" si="30"/>
        <v>0</v>
      </c>
      <c r="S81" s="256">
        <f t="shared" si="30"/>
        <v>0</v>
      </c>
      <c r="T81" s="256">
        <f t="shared" si="30"/>
        <v>0</v>
      </c>
      <c r="U81" s="256">
        <f t="shared" si="30"/>
        <v>0</v>
      </c>
      <c r="V81" s="256">
        <f t="shared" si="30"/>
        <v>0</v>
      </c>
      <c r="W81" s="256">
        <f t="shared" ref="W81:X81" si="31">IF(W64&lt;0,W64*-1,0)</f>
        <v>0</v>
      </c>
      <c r="X81" s="256">
        <f t="shared" si="31"/>
        <v>0</v>
      </c>
      <c r="Y81" s="256">
        <f t="shared" ref="Y81" si="32">IF(Y64&lt;0,Y64*-1,0)</f>
        <v>0</v>
      </c>
      <c r="Z81" s="256">
        <f t="shared" si="30"/>
        <v>0</v>
      </c>
      <c r="AA81" s="256">
        <f t="shared" si="30"/>
        <v>0</v>
      </c>
      <c r="AB81" s="256">
        <f t="shared" si="30"/>
        <v>0</v>
      </c>
      <c r="AC81" s="256">
        <f t="shared" si="30"/>
        <v>0</v>
      </c>
      <c r="AD81" s="256">
        <f t="shared" si="30"/>
        <v>0</v>
      </c>
      <c r="AE81" s="256">
        <f t="shared" si="30"/>
        <v>0</v>
      </c>
      <c r="AF81" s="256">
        <f t="shared" si="30"/>
        <v>0</v>
      </c>
      <c r="AG81" s="230"/>
      <c r="AH81" s="226">
        <f t="shared" si="29"/>
        <v>0</v>
      </c>
      <c r="AI81" s="227">
        <f t="shared" ref="AI81:AI97" si="33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v>0</v>
      </c>
      <c r="C82" s="256">
        <f t="shared" ref="C82:AF82" si="34">IF(C62&lt;0,C62*-1,0)</f>
        <v>0</v>
      </c>
      <c r="D82" s="256">
        <f t="shared" si="34"/>
        <v>0</v>
      </c>
      <c r="E82" s="256">
        <f t="shared" si="34"/>
        <v>0</v>
      </c>
      <c r="F82" s="256">
        <f t="shared" si="34"/>
        <v>0</v>
      </c>
      <c r="G82" s="256">
        <f t="shared" si="34"/>
        <v>0</v>
      </c>
      <c r="H82" s="256">
        <f t="shared" si="34"/>
        <v>0</v>
      </c>
      <c r="I82" s="256">
        <f t="shared" si="34"/>
        <v>0</v>
      </c>
      <c r="J82" s="256">
        <f t="shared" si="34"/>
        <v>0</v>
      </c>
      <c r="K82" s="256">
        <f t="shared" si="34"/>
        <v>0</v>
      </c>
      <c r="L82" s="256">
        <f t="shared" si="34"/>
        <v>0</v>
      </c>
      <c r="M82" s="256">
        <f t="shared" si="34"/>
        <v>0</v>
      </c>
      <c r="N82" s="256">
        <f t="shared" si="34"/>
        <v>0</v>
      </c>
      <c r="O82" s="256">
        <f t="shared" si="34"/>
        <v>0</v>
      </c>
      <c r="P82" s="256">
        <f t="shared" si="34"/>
        <v>0</v>
      </c>
      <c r="Q82" s="256">
        <f t="shared" si="34"/>
        <v>0</v>
      </c>
      <c r="R82" s="256">
        <f t="shared" si="34"/>
        <v>0</v>
      </c>
      <c r="S82" s="256">
        <f t="shared" si="34"/>
        <v>0</v>
      </c>
      <c r="T82" s="256">
        <f t="shared" si="34"/>
        <v>0</v>
      </c>
      <c r="U82" s="256">
        <f t="shared" si="34"/>
        <v>0</v>
      </c>
      <c r="V82" s="256">
        <f t="shared" si="34"/>
        <v>0</v>
      </c>
      <c r="W82" s="256">
        <f t="shared" ref="W82:X82" si="35">IF(W62&lt;0,W62*-1,0)</f>
        <v>0</v>
      </c>
      <c r="X82" s="256">
        <f t="shared" si="35"/>
        <v>0</v>
      </c>
      <c r="Y82" s="256">
        <f t="shared" ref="Y82" si="36">IF(Y62&lt;0,Y62*-1,0)</f>
        <v>0</v>
      </c>
      <c r="Z82" s="256">
        <f t="shared" si="34"/>
        <v>0</v>
      </c>
      <c r="AA82" s="256">
        <f t="shared" si="34"/>
        <v>0</v>
      </c>
      <c r="AB82" s="256">
        <f t="shared" si="34"/>
        <v>0</v>
      </c>
      <c r="AC82" s="256">
        <f t="shared" si="34"/>
        <v>0</v>
      </c>
      <c r="AD82" s="256">
        <f t="shared" si="34"/>
        <v>0</v>
      </c>
      <c r="AE82" s="256">
        <f t="shared" si="34"/>
        <v>0</v>
      </c>
      <c r="AF82" s="256">
        <f t="shared" si="34"/>
        <v>0</v>
      </c>
      <c r="AG82" s="235"/>
      <c r="AH82" s="226">
        <f t="shared" si="29"/>
        <v>0</v>
      </c>
      <c r="AI82" s="227">
        <f t="shared" si="33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v>0</v>
      </c>
      <c r="C83" s="256">
        <f t="shared" ref="C83:AF83" si="37">IF(C65&lt;0,C65*-1,0)</f>
        <v>0</v>
      </c>
      <c r="D83" s="256">
        <f t="shared" si="37"/>
        <v>0</v>
      </c>
      <c r="E83" s="256">
        <f t="shared" si="37"/>
        <v>0</v>
      </c>
      <c r="F83" s="256">
        <f t="shared" si="37"/>
        <v>0</v>
      </c>
      <c r="G83" s="256">
        <f t="shared" si="37"/>
        <v>0</v>
      </c>
      <c r="H83" s="256">
        <f t="shared" si="37"/>
        <v>0</v>
      </c>
      <c r="I83" s="256">
        <f t="shared" si="37"/>
        <v>0</v>
      </c>
      <c r="J83" s="256">
        <f t="shared" si="37"/>
        <v>0</v>
      </c>
      <c r="K83" s="256">
        <f t="shared" si="37"/>
        <v>0</v>
      </c>
      <c r="L83" s="256">
        <f t="shared" si="37"/>
        <v>0</v>
      </c>
      <c r="M83" s="256">
        <f t="shared" si="37"/>
        <v>0</v>
      </c>
      <c r="N83" s="256">
        <f t="shared" si="37"/>
        <v>0</v>
      </c>
      <c r="O83" s="256">
        <f t="shared" si="37"/>
        <v>0</v>
      </c>
      <c r="P83" s="256">
        <f t="shared" si="37"/>
        <v>0</v>
      </c>
      <c r="Q83" s="256">
        <f t="shared" si="37"/>
        <v>0</v>
      </c>
      <c r="R83" s="256">
        <f t="shared" si="37"/>
        <v>0</v>
      </c>
      <c r="S83" s="256">
        <f t="shared" si="37"/>
        <v>0</v>
      </c>
      <c r="T83" s="256">
        <f t="shared" si="37"/>
        <v>0</v>
      </c>
      <c r="U83" s="256">
        <f t="shared" si="37"/>
        <v>0</v>
      </c>
      <c r="V83" s="256">
        <f t="shared" si="37"/>
        <v>0</v>
      </c>
      <c r="W83" s="256">
        <f t="shared" ref="W83:X83" si="38">IF(W65&lt;0,W65*-1,0)</f>
        <v>0</v>
      </c>
      <c r="X83" s="256">
        <f t="shared" si="38"/>
        <v>0</v>
      </c>
      <c r="Y83" s="256">
        <f t="shared" ref="Y83" si="39">IF(Y65&lt;0,Y65*-1,0)</f>
        <v>0</v>
      </c>
      <c r="Z83" s="256">
        <f t="shared" si="37"/>
        <v>0</v>
      </c>
      <c r="AA83" s="256">
        <f t="shared" si="37"/>
        <v>0</v>
      </c>
      <c r="AB83" s="256">
        <f t="shared" si="37"/>
        <v>0</v>
      </c>
      <c r="AC83" s="256">
        <f t="shared" si="37"/>
        <v>0</v>
      </c>
      <c r="AD83" s="256">
        <f t="shared" si="37"/>
        <v>0</v>
      </c>
      <c r="AE83" s="256">
        <f t="shared" si="37"/>
        <v>0</v>
      </c>
      <c r="AF83" s="256">
        <f t="shared" si="37"/>
        <v>0</v>
      </c>
      <c r="AG83" s="266"/>
      <c r="AH83" s="226">
        <f t="shared" si="29"/>
        <v>0</v>
      </c>
      <c r="AI83" s="227">
        <f t="shared" si="33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v>305</v>
      </c>
      <c r="C84" s="256">
        <f t="shared" ref="C84:AF84" si="40">IF(C63&lt;0,C63*-1,0)</f>
        <v>397.7</v>
      </c>
      <c r="D84" s="256">
        <f t="shared" si="40"/>
        <v>398.7</v>
      </c>
      <c r="E84" s="256">
        <f t="shared" si="40"/>
        <v>411</v>
      </c>
      <c r="F84" s="256">
        <f t="shared" si="40"/>
        <v>422</v>
      </c>
      <c r="G84" s="256">
        <f t="shared" si="40"/>
        <v>411</v>
      </c>
      <c r="H84" s="256">
        <f t="shared" si="40"/>
        <v>406</v>
      </c>
      <c r="I84" s="256">
        <f t="shared" si="40"/>
        <v>443</v>
      </c>
      <c r="J84" s="256">
        <f t="shared" si="40"/>
        <v>390</v>
      </c>
      <c r="K84" s="256">
        <f t="shared" si="40"/>
        <v>375</v>
      </c>
      <c r="L84" s="256">
        <f t="shared" si="40"/>
        <v>365</v>
      </c>
      <c r="M84" s="256">
        <f t="shared" si="40"/>
        <v>386</v>
      </c>
      <c r="N84" s="256">
        <f t="shared" si="40"/>
        <v>360</v>
      </c>
      <c r="O84" s="256">
        <f t="shared" si="40"/>
        <v>370</v>
      </c>
      <c r="P84" s="256">
        <f t="shared" si="40"/>
        <v>380</v>
      </c>
      <c r="Q84" s="256">
        <f t="shared" si="40"/>
        <v>390</v>
      </c>
      <c r="R84" s="256">
        <f t="shared" si="40"/>
        <v>300</v>
      </c>
      <c r="S84" s="256">
        <f t="shared" si="40"/>
        <v>372</v>
      </c>
      <c r="T84" s="256">
        <f t="shared" si="40"/>
        <v>316.60000000000002</v>
      </c>
      <c r="U84" s="256">
        <f t="shared" si="40"/>
        <v>377</v>
      </c>
      <c r="V84" s="256">
        <f t="shared" si="40"/>
        <v>400</v>
      </c>
      <c r="W84" s="256">
        <f t="shared" ref="W84:X84" si="41">IF(W63&lt;0,W63*-1,0)</f>
        <v>384</v>
      </c>
      <c r="X84" s="256">
        <f t="shared" si="41"/>
        <v>384</v>
      </c>
      <c r="Y84" s="256">
        <f t="shared" ref="Y84" si="42">IF(Y63&lt;0,Y63*-1,0)</f>
        <v>275</v>
      </c>
      <c r="Z84" s="256">
        <f t="shared" si="40"/>
        <v>225.2</v>
      </c>
      <c r="AA84" s="256">
        <f t="shared" si="40"/>
        <v>248</v>
      </c>
      <c r="AB84" s="256">
        <f t="shared" si="40"/>
        <v>261</v>
      </c>
      <c r="AC84" s="256">
        <f t="shared" si="40"/>
        <v>250</v>
      </c>
      <c r="AD84" s="256">
        <f t="shared" si="40"/>
        <v>281</v>
      </c>
      <c r="AE84" s="256">
        <f t="shared" si="40"/>
        <v>350</v>
      </c>
      <c r="AF84" s="256">
        <f t="shared" si="40"/>
        <v>380</v>
      </c>
      <c r="AG84" s="266"/>
      <c r="AH84" s="226">
        <f t="shared" si="29"/>
        <v>443</v>
      </c>
      <c r="AI84" s="227">
        <f t="shared" si="33"/>
        <v>225.2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v>0</v>
      </c>
      <c r="C85" s="256">
        <f t="shared" ref="C85:AF85" si="43">IF(C61&lt;0,C61*-1,0)</f>
        <v>0</v>
      </c>
      <c r="D85" s="256">
        <f t="shared" si="43"/>
        <v>0</v>
      </c>
      <c r="E85" s="256">
        <f t="shared" si="43"/>
        <v>0</v>
      </c>
      <c r="F85" s="256">
        <f t="shared" si="43"/>
        <v>0</v>
      </c>
      <c r="G85" s="256">
        <f t="shared" si="43"/>
        <v>0</v>
      </c>
      <c r="H85" s="256">
        <f t="shared" si="43"/>
        <v>0</v>
      </c>
      <c r="I85" s="256">
        <f t="shared" si="43"/>
        <v>0</v>
      </c>
      <c r="J85" s="256">
        <f t="shared" si="43"/>
        <v>0</v>
      </c>
      <c r="K85" s="256">
        <f t="shared" si="43"/>
        <v>0</v>
      </c>
      <c r="L85" s="256">
        <f t="shared" si="43"/>
        <v>0</v>
      </c>
      <c r="M85" s="256">
        <f t="shared" si="43"/>
        <v>0</v>
      </c>
      <c r="N85" s="256">
        <f t="shared" si="43"/>
        <v>0</v>
      </c>
      <c r="O85" s="256">
        <f t="shared" si="43"/>
        <v>0</v>
      </c>
      <c r="P85" s="256">
        <f t="shared" si="43"/>
        <v>0</v>
      </c>
      <c r="Q85" s="256">
        <f t="shared" si="43"/>
        <v>0</v>
      </c>
      <c r="R85" s="256">
        <f t="shared" si="43"/>
        <v>0</v>
      </c>
      <c r="S85" s="256">
        <f t="shared" si="43"/>
        <v>0</v>
      </c>
      <c r="T85" s="256">
        <f t="shared" si="43"/>
        <v>0</v>
      </c>
      <c r="U85" s="256">
        <f t="shared" si="43"/>
        <v>0</v>
      </c>
      <c r="V85" s="256">
        <f t="shared" si="43"/>
        <v>0</v>
      </c>
      <c r="W85" s="256">
        <f t="shared" ref="W85:X85" si="44">IF(W61&lt;0,W61*-1,0)</f>
        <v>0</v>
      </c>
      <c r="X85" s="256">
        <f t="shared" si="44"/>
        <v>0</v>
      </c>
      <c r="Y85" s="256">
        <f t="shared" ref="Y85" si="45">IF(Y61&lt;0,Y61*-1,0)</f>
        <v>0</v>
      </c>
      <c r="Z85" s="256">
        <f t="shared" si="43"/>
        <v>0</v>
      </c>
      <c r="AA85" s="256">
        <f t="shared" si="43"/>
        <v>0</v>
      </c>
      <c r="AB85" s="256">
        <f t="shared" si="43"/>
        <v>0</v>
      </c>
      <c r="AC85" s="256">
        <f t="shared" si="43"/>
        <v>0</v>
      </c>
      <c r="AD85" s="256">
        <f t="shared" si="43"/>
        <v>0</v>
      </c>
      <c r="AE85" s="256">
        <f t="shared" si="43"/>
        <v>0</v>
      </c>
      <c r="AF85" s="256">
        <f t="shared" si="43"/>
        <v>0</v>
      </c>
      <c r="AG85" s="266"/>
      <c r="AH85" s="226">
        <f t="shared" si="29"/>
        <v>0</v>
      </c>
      <c r="AI85" s="227">
        <f t="shared" si="33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29"/>
        <v>0</v>
      </c>
      <c r="AI86" s="227">
        <f t="shared" si="33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305</v>
      </c>
      <c r="C87" s="241">
        <f t="shared" ref="C87:AF87" si="46">SUM(C81:C86)</f>
        <v>397.7</v>
      </c>
      <c r="D87" s="241">
        <f t="shared" si="46"/>
        <v>398.7</v>
      </c>
      <c r="E87" s="241">
        <f t="shared" si="46"/>
        <v>411</v>
      </c>
      <c r="F87" s="241">
        <f t="shared" si="46"/>
        <v>422</v>
      </c>
      <c r="G87" s="241">
        <f t="shared" si="46"/>
        <v>411</v>
      </c>
      <c r="H87" s="241">
        <f t="shared" si="46"/>
        <v>406</v>
      </c>
      <c r="I87" s="241">
        <f t="shared" si="46"/>
        <v>443</v>
      </c>
      <c r="J87" s="241">
        <f t="shared" si="46"/>
        <v>390</v>
      </c>
      <c r="K87" s="241">
        <f t="shared" si="46"/>
        <v>375</v>
      </c>
      <c r="L87" s="241">
        <f t="shared" si="46"/>
        <v>365</v>
      </c>
      <c r="M87" s="241">
        <f t="shared" si="46"/>
        <v>386</v>
      </c>
      <c r="N87" s="241">
        <f t="shared" si="46"/>
        <v>360</v>
      </c>
      <c r="O87" s="241">
        <f t="shared" si="46"/>
        <v>370</v>
      </c>
      <c r="P87" s="241">
        <f t="shared" si="46"/>
        <v>380</v>
      </c>
      <c r="Q87" s="241">
        <f t="shared" si="46"/>
        <v>390</v>
      </c>
      <c r="R87" s="241">
        <f t="shared" si="46"/>
        <v>300</v>
      </c>
      <c r="S87" s="241">
        <f t="shared" si="46"/>
        <v>372</v>
      </c>
      <c r="T87" s="241">
        <f t="shared" si="46"/>
        <v>316.60000000000002</v>
      </c>
      <c r="U87" s="241">
        <f t="shared" si="46"/>
        <v>377</v>
      </c>
      <c r="V87" s="241">
        <f t="shared" si="46"/>
        <v>400</v>
      </c>
      <c r="W87" s="241">
        <f t="shared" ref="W87:X87" si="47">SUM(W81:W86)</f>
        <v>384</v>
      </c>
      <c r="X87" s="241">
        <f t="shared" si="47"/>
        <v>384</v>
      </c>
      <c r="Y87" s="241">
        <f t="shared" ref="Y87" si="48">SUM(Y81:Y86)</f>
        <v>275</v>
      </c>
      <c r="Z87" s="241">
        <f t="shared" si="46"/>
        <v>225.2</v>
      </c>
      <c r="AA87" s="241">
        <f t="shared" si="46"/>
        <v>248</v>
      </c>
      <c r="AB87" s="241">
        <f t="shared" si="46"/>
        <v>261</v>
      </c>
      <c r="AC87" s="241">
        <f t="shared" si="46"/>
        <v>250</v>
      </c>
      <c r="AD87" s="241">
        <f t="shared" si="46"/>
        <v>281</v>
      </c>
      <c r="AE87" s="241">
        <f t="shared" si="46"/>
        <v>350</v>
      </c>
      <c r="AF87" s="241">
        <f t="shared" si="46"/>
        <v>380</v>
      </c>
      <c r="AG87" s="261"/>
      <c r="AH87" s="226">
        <f t="shared" si="29"/>
        <v>443</v>
      </c>
      <c r="AI87" s="227">
        <f t="shared" si="33"/>
        <v>225.2</v>
      </c>
      <c r="AK87" s="228"/>
    </row>
    <row r="88" spans="1:88" s="175" customFormat="1" ht="15.75" thickBot="1" x14ac:dyDescent="0.3">
      <c r="A88" s="254" t="s">
        <v>93</v>
      </c>
      <c r="B88" s="241">
        <f>B72-B87</f>
        <v>-282.7</v>
      </c>
      <c r="C88" s="241">
        <f t="shared" ref="C88:AF88" si="49">C72-C87</f>
        <v>-372.8</v>
      </c>
      <c r="D88" s="241">
        <f t="shared" si="49"/>
        <v>-374.4</v>
      </c>
      <c r="E88" s="241">
        <f t="shared" si="49"/>
        <v>-411</v>
      </c>
      <c r="F88" s="241">
        <f t="shared" si="49"/>
        <v>-422</v>
      </c>
      <c r="G88" s="241">
        <f t="shared" si="49"/>
        <v>-411</v>
      </c>
      <c r="H88" s="241">
        <f t="shared" si="49"/>
        <v>-406</v>
      </c>
      <c r="I88" s="241">
        <f t="shared" si="49"/>
        <v>-443</v>
      </c>
      <c r="J88" s="241">
        <f t="shared" si="49"/>
        <v>-390</v>
      </c>
      <c r="K88" s="241">
        <f t="shared" si="49"/>
        <v>-375</v>
      </c>
      <c r="L88" s="241">
        <f t="shared" si="49"/>
        <v>-365</v>
      </c>
      <c r="M88" s="241">
        <f t="shared" si="49"/>
        <v>-386</v>
      </c>
      <c r="N88" s="241">
        <f t="shared" si="49"/>
        <v>-360</v>
      </c>
      <c r="O88" s="241">
        <f t="shared" si="49"/>
        <v>-330</v>
      </c>
      <c r="P88" s="241">
        <f t="shared" si="49"/>
        <v>-323</v>
      </c>
      <c r="Q88" s="241">
        <f t="shared" si="49"/>
        <v>-318.39999999999998</v>
      </c>
      <c r="R88" s="241">
        <f t="shared" si="49"/>
        <v>-258.3</v>
      </c>
      <c r="S88" s="241">
        <f t="shared" si="49"/>
        <v>-320</v>
      </c>
      <c r="T88" s="241">
        <f t="shared" si="49"/>
        <v>-282.70000000000005</v>
      </c>
      <c r="U88" s="241">
        <f t="shared" si="49"/>
        <v>-347.5</v>
      </c>
      <c r="V88" s="241">
        <f t="shared" si="49"/>
        <v>-365</v>
      </c>
      <c r="W88" s="241">
        <f t="shared" ref="W88:X88" si="50">W72-W87</f>
        <v>-379</v>
      </c>
      <c r="X88" s="241">
        <f t="shared" si="50"/>
        <v>-379</v>
      </c>
      <c r="Y88" s="241">
        <f t="shared" ref="Y88" si="51">Y72-Y87</f>
        <v>-270</v>
      </c>
      <c r="Z88" s="241">
        <f t="shared" si="49"/>
        <v>-161.1</v>
      </c>
      <c r="AA88" s="241">
        <f t="shared" si="49"/>
        <v>-186.8</v>
      </c>
      <c r="AB88" s="241">
        <f t="shared" si="49"/>
        <v>-215</v>
      </c>
      <c r="AC88" s="241">
        <f t="shared" si="49"/>
        <v>-198</v>
      </c>
      <c r="AD88" s="241">
        <f t="shared" si="49"/>
        <v>-212</v>
      </c>
      <c r="AE88" s="241">
        <f t="shared" si="49"/>
        <v>-287</v>
      </c>
      <c r="AF88" s="241">
        <f t="shared" si="49"/>
        <v>-336</v>
      </c>
      <c r="AG88" s="261"/>
      <c r="AH88" s="226">
        <f t="shared" si="29"/>
        <v>-161.1</v>
      </c>
      <c r="AI88" s="227">
        <f t="shared" si="33"/>
        <v>-443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50.037999999999997</v>
      </c>
      <c r="C89" s="269">
        <v>49.792000000000002</v>
      </c>
      <c r="D89" s="269">
        <v>49.948999999999998</v>
      </c>
      <c r="E89" s="269">
        <v>49.984999999999999</v>
      </c>
      <c r="F89" s="269">
        <v>49.8</v>
      </c>
      <c r="G89" s="269">
        <v>49.5</v>
      </c>
      <c r="H89" s="269">
        <v>49.99</v>
      </c>
      <c r="I89" s="269">
        <v>49.991999999999997</v>
      </c>
      <c r="J89" s="269">
        <v>50</v>
      </c>
      <c r="K89" s="269">
        <v>49.95</v>
      </c>
      <c r="L89" s="269">
        <v>50.042999999999999</v>
      </c>
      <c r="M89" s="269">
        <v>49.932000000000002</v>
      </c>
      <c r="N89" s="269">
        <v>49.932000000000002</v>
      </c>
      <c r="O89" s="269">
        <v>50</v>
      </c>
      <c r="P89" s="269">
        <v>50</v>
      </c>
      <c r="Q89" s="269">
        <v>50.1</v>
      </c>
      <c r="R89" s="269">
        <v>50.02</v>
      </c>
      <c r="S89" s="269">
        <v>50.2</v>
      </c>
      <c r="T89" s="269">
        <v>49.99</v>
      </c>
      <c r="U89" s="269">
        <v>50.03</v>
      </c>
      <c r="V89" s="269">
        <v>50.04</v>
      </c>
      <c r="W89" s="269">
        <v>50.04</v>
      </c>
      <c r="X89" s="269">
        <v>50.04</v>
      </c>
      <c r="Y89" s="269">
        <v>50.04</v>
      </c>
      <c r="Z89" s="269">
        <v>49.970999999999997</v>
      </c>
      <c r="AA89" s="269">
        <v>50.02</v>
      </c>
      <c r="AB89" s="269">
        <v>50.048000000000002</v>
      </c>
      <c r="AC89" s="269">
        <v>50.048000000000002</v>
      </c>
      <c r="AD89" s="269">
        <v>49.97</v>
      </c>
      <c r="AE89" s="269">
        <v>49.99</v>
      </c>
      <c r="AF89" s="269">
        <v>50.03</v>
      </c>
      <c r="AG89" s="270"/>
      <c r="AH89" s="226">
        <f t="shared" si="29"/>
        <v>50.2</v>
      </c>
      <c r="AI89" s="227">
        <f t="shared" si="33"/>
        <v>49.5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124.5</v>
      </c>
      <c r="C90" s="245">
        <v>124.6</v>
      </c>
      <c r="D90" s="245">
        <v>125.3</v>
      </c>
      <c r="E90" s="245">
        <v>124.5</v>
      </c>
      <c r="F90" s="245">
        <v>124.5</v>
      </c>
      <c r="G90" s="245">
        <v>124.5</v>
      </c>
      <c r="H90" s="245">
        <v>124.5</v>
      </c>
      <c r="I90" s="245">
        <v>126</v>
      </c>
      <c r="J90" s="245">
        <v>126</v>
      </c>
      <c r="K90" s="245">
        <v>123</v>
      </c>
      <c r="L90" s="245">
        <v>122.6</v>
      </c>
      <c r="M90" s="245">
        <v>123</v>
      </c>
      <c r="N90" s="245">
        <v>123</v>
      </c>
      <c r="O90" s="245">
        <v>123</v>
      </c>
      <c r="P90" s="245">
        <v>123</v>
      </c>
      <c r="Q90" s="245">
        <v>120.3</v>
      </c>
      <c r="R90" s="245">
        <v>121.8</v>
      </c>
      <c r="S90" s="245">
        <v>123</v>
      </c>
      <c r="T90" s="245">
        <v>122.3</v>
      </c>
      <c r="U90" s="245">
        <v>122.3</v>
      </c>
      <c r="V90" s="245">
        <v>125.9</v>
      </c>
      <c r="W90" s="245">
        <v>125.9</v>
      </c>
      <c r="X90" s="245">
        <v>125.9</v>
      </c>
      <c r="Y90" s="245">
        <v>125.9</v>
      </c>
      <c r="Z90" s="245">
        <v>124.9</v>
      </c>
      <c r="AA90" s="245">
        <v>124.9</v>
      </c>
      <c r="AB90" s="245">
        <v>126</v>
      </c>
      <c r="AC90" s="245">
        <v>126</v>
      </c>
      <c r="AD90" s="245">
        <v>125</v>
      </c>
      <c r="AE90" s="245">
        <v>124</v>
      </c>
      <c r="AF90" s="245">
        <v>124</v>
      </c>
      <c r="AG90" s="272"/>
      <c r="AH90" s="226">
        <f t="shared" si="29"/>
        <v>126</v>
      </c>
      <c r="AI90" s="227">
        <f t="shared" si="33"/>
        <v>120.3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129.19999999999999</v>
      </c>
      <c r="C91" s="245">
        <v>129.4</v>
      </c>
      <c r="D91" s="245">
        <v>129.5</v>
      </c>
      <c r="E91" s="245">
        <v>129</v>
      </c>
      <c r="F91" s="245">
        <v>129</v>
      </c>
      <c r="G91" s="245">
        <v>129</v>
      </c>
      <c r="H91" s="245">
        <v>129</v>
      </c>
      <c r="I91" s="245">
        <v>129</v>
      </c>
      <c r="J91" s="245">
        <v>129</v>
      </c>
      <c r="K91" s="245">
        <v>127</v>
      </c>
      <c r="L91" s="245">
        <v>126.8</v>
      </c>
      <c r="M91" s="245">
        <v>127</v>
      </c>
      <c r="N91" s="245">
        <v>127</v>
      </c>
      <c r="O91" s="245">
        <v>126</v>
      </c>
      <c r="P91" s="245">
        <v>126</v>
      </c>
      <c r="Q91" s="245">
        <v>124.2</v>
      </c>
      <c r="R91" s="245">
        <v>125</v>
      </c>
      <c r="S91" s="245">
        <v>126.8</v>
      </c>
      <c r="T91" s="245">
        <v>126.2</v>
      </c>
      <c r="U91" s="245">
        <v>126.2</v>
      </c>
      <c r="V91" s="245">
        <v>129.19999999999999</v>
      </c>
      <c r="W91" s="245">
        <v>129.19999999999999</v>
      </c>
      <c r="X91" s="245">
        <v>129.19999999999999</v>
      </c>
      <c r="Y91" s="245">
        <v>129.19999999999999</v>
      </c>
      <c r="Z91" s="245">
        <v>128.6</v>
      </c>
      <c r="AA91" s="245">
        <v>128.6</v>
      </c>
      <c r="AB91" s="245">
        <v>129</v>
      </c>
      <c r="AC91" s="245">
        <v>129</v>
      </c>
      <c r="AD91" s="245">
        <v>129</v>
      </c>
      <c r="AE91" s="245">
        <v>129</v>
      </c>
      <c r="AF91" s="245">
        <v>129</v>
      </c>
      <c r="AG91" s="272"/>
      <c r="AH91" s="226">
        <f t="shared" si="29"/>
        <v>129.5</v>
      </c>
      <c r="AI91" s="227">
        <f t="shared" si="33"/>
        <v>124.2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</v>
      </c>
      <c r="C92" s="245">
        <v>128.69999999999999</v>
      </c>
      <c r="D92" s="245">
        <v>128.69999999999999</v>
      </c>
      <c r="E92" s="245">
        <v>129.1</v>
      </c>
      <c r="F92" s="245">
        <v>129.1</v>
      </c>
      <c r="G92" s="245">
        <v>129.1</v>
      </c>
      <c r="H92" s="245">
        <v>129.1</v>
      </c>
      <c r="I92" s="245">
        <v>130</v>
      </c>
      <c r="J92" s="245">
        <v>130</v>
      </c>
      <c r="K92" s="245">
        <v>128</v>
      </c>
      <c r="L92" s="245">
        <v>127.7</v>
      </c>
      <c r="M92" s="245">
        <v>127</v>
      </c>
      <c r="N92" s="245">
        <v>127</v>
      </c>
      <c r="O92" s="245">
        <v>127</v>
      </c>
      <c r="P92" s="245">
        <v>127</v>
      </c>
      <c r="Q92" s="245">
        <v>128.30000000000001</v>
      </c>
      <c r="R92" s="245">
        <v>130</v>
      </c>
      <c r="S92" s="245">
        <v>129</v>
      </c>
      <c r="T92" s="245">
        <v>127.9</v>
      </c>
      <c r="U92" s="245">
        <v>127.9</v>
      </c>
      <c r="V92" s="245">
        <v>129</v>
      </c>
      <c r="W92" s="245">
        <v>129</v>
      </c>
      <c r="X92" s="245">
        <v>129</v>
      </c>
      <c r="Y92" s="245">
        <v>129</v>
      </c>
      <c r="Z92" s="245">
        <v>129.5</v>
      </c>
      <c r="AA92" s="245">
        <v>129.5</v>
      </c>
      <c r="AB92" s="245">
        <v>129</v>
      </c>
      <c r="AC92" s="245">
        <v>129</v>
      </c>
      <c r="AD92" s="245">
        <v>128</v>
      </c>
      <c r="AE92" s="245">
        <v>130</v>
      </c>
      <c r="AF92" s="245">
        <v>130</v>
      </c>
      <c r="AG92" s="272"/>
      <c r="AH92" s="226">
        <f t="shared" si="29"/>
        <v>130</v>
      </c>
      <c r="AI92" s="227">
        <f t="shared" si="33"/>
        <v>127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134.9</v>
      </c>
      <c r="C93" s="245">
        <v>134.1</v>
      </c>
      <c r="D93" s="245">
        <v>132.6</v>
      </c>
      <c r="E93" s="245">
        <v>133</v>
      </c>
      <c r="F93" s="245">
        <v>133</v>
      </c>
      <c r="G93" s="245">
        <v>133</v>
      </c>
      <c r="H93" s="245">
        <v>133</v>
      </c>
      <c r="I93" s="245">
        <v>133</v>
      </c>
      <c r="J93" s="245">
        <v>133</v>
      </c>
      <c r="K93" s="245">
        <v>131</v>
      </c>
      <c r="L93" s="245">
        <v>130</v>
      </c>
      <c r="M93" s="245">
        <v>130</v>
      </c>
      <c r="N93" s="245">
        <v>130</v>
      </c>
      <c r="O93" s="245">
        <v>130</v>
      </c>
      <c r="P93" s="245">
        <v>130</v>
      </c>
      <c r="Q93" s="245">
        <v>132.19999999999999</v>
      </c>
      <c r="R93" s="245">
        <v>133</v>
      </c>
      <c r="S93" s="245">
        <v>132.5</v>
      </c>
      <c r="T93" s="245">
        <v>131</v>
      </c>
      <c r="U93" s="245">
        <v>131</v>
      </c>
      <c r="V93" s="245">
        <v>132.4</v>
      </c>
      <c r="W93" s="245">
        <v>132.4</v>
      </c>
      <c r="X93" s="245">
        <v>132.4</v>
      </c>
      <c r="Y93" s="245">
        <v>132.4</v>
      </c>
      <c r="Z93" s="245">
        <v>132.6</v>
      </c>
      <c r="AA93" s="245">
        <v>132.6</v>
      </c>
      <c r="AB93" s="245">
        <v>133</v>
      </c>
      <c r="AC93" s="245">
        <v>133</v>
      </c>
      <c r="AD93" s="245">
        <v>132</v>
      </c>
      <c r="AE93" s="245">
        <v>133</v>
      </c>
      <c r="AF93" s="245">
        <v>134</v>
      </c>
      <c r="AG93" s="272"/>
      <c r="AH93" s="226">
        <f t="shared" si="29"/>
        <v>134.9</v>
      </c>
      <c r="AI93" s="227">
        <f t="shared" si="33"/>
        <v>130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129.30000000000001</v>
      </c>
      <c r="C94" s="274">
        <v>135</v>
      </c>
      <c r="D94" s="274">
        <v>133</v>
      </c>
      <c r="E94" s="274">
        <v>131</v>
      </c>
      <c r="F94" s="274">
        <v>131</v>
      </c>
      <c r="G94" s="274">
        <v>131</v>
      </c>
      <c r="H94" s="274">
        <v>131</v>
      </c>
      <c r="I94" s="274">
        <v>134</v>
      </c>
      <c r="J94" s="274">
        <v>134</v>
      </c>
      <c r="K94" s="274">
        <v>130.6</v>
      </c>
      <c r="L94" s="274">
        <v>128</v>
      </c>
      <c r="M94" s="274">
        <v>134</v>
      </c>
      <c r="N94" s="274">
        <v>134</v>
      </c>
      <c r="O94" s="274">
        <v>134</v>
      </c>
      <c r="P94" s="274">
        <v>134</v>
      </c>
      <c r="Q94" s="274">
        <v>131.9</v>
      </c>
      <c r="R94" s="274">
        <v>133</v>
      </c>
      <c r="S94" s="274">
        <v>131</v>
      </c>
      <c r="T94" s="274">
        <v>132</v>
      </c>
      <c r="U94" s="274">
        <v>132</v>
      </c>
      <c r="V94" s="274">
        <v>133.80000000000001</v>
      </c>
      <c r="W94" s="274">
        <v>133.80000000000001</v>
      </c>
      <c r="X94" s="274">
        <v>133.80000000000001</v>
      </c>
      <c r="Y94" s="274">
        <v>133.80000000000001</v>
      </c>
      <c r="Z94" s="274">
        <v>134.19999999999999</v>
      </c>
      <c r="AA94" s="274">
        <v>134.19999999999999</v>
      </c>
      <c r="AB94" s="274">
        <v>133</v>
      </c>
      <c r="AC94" s="274">
        <v>133</v>
      </c>
      <c r="AD94" s="274">
        <v>133</v>
      </c>
      <c r="AE94" s="274">
        <v>134.5</v>
      </c>
      <c r="AF94" s="274">
        <v>133</v>
      </c>
      <c r="AG94" s="275"/>
      <c r="AH94" s="226">
        <f t="shared" si="29"/>
        <v>135</v>
      </c>
      <c r="AI94" s="227">
        <f t="shared" si="33"/>
        <v>128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124.9</v>
      </c>
      <c r="C95" s="245">
        <v>132.30000000000001</v>
      </c>
      <c r="D95" s="245">
        <v>127.7</v>
      </c>
      <c r="E95" s="245">
        <v>124</v>
      </c>
      <c r="F95" s="245">
        <v>124</v>
      </c>
      <c r="G95" s="245">
        <v>124</v>
      </c>
      <c r="H95" s="245">
        <v>124</v>
      </c>
      <c r="I95" s="245">
        <v>132</v>
      </c>
      <c r="J95" s="245">
        <v>132</v>
      </c>
      <c r="K95" s="245">
        <v>129</v>
      </c>
      <c r="L95" s="245">
        <v>123</v>
      </c>
      <c r="M95" s="245">
        <v>132</v>
      </c>
      <c r="N95" s="245">
        <v>132</v>
      </c>
      <c r="O95" s="245">
        <v>131.69999999999999</v>
      </c>
      <c r="P95" s="245">
        <v>131.69999999999999</v>
      </c>
      <c r="Q95" s="245">
        <v>124.3</v>
      </c>
      <c r="R95" s="245">
        <v>129</v>
      </c>
      <c r="S95" s="245">
        <v>123</v>
      </c>
      <c r="T95" s="245">
        <v>128.69999999999999</v>
      </c>
      <c r="U95" s="245">
        <v>128.69999999999999</v>
      </c>
      <c r="V95" s="245">
        <v>127.7</v>
      </c>
      <c r="W95" s="245">
        <v>127.7</v>
      </c>
      <c r="X95" s="245">
        <v>127.7</v>
      </c>
      <c r="Y95" s="245">
        <v>127.7</v>
      </c>
      <c r="Z95" s="245">
        <v>129.1</v>
      </c>
      <c r="AA95" s="245">
        <v>129.1</v>
      </c>
      <c r="AB95" s="245">
        <v>132</v>
      </c>
      <c r="AC95" s="245">
        <v>132</v>
      </c>
      <c r="AD95" s="245">
        <v>127</v>
      </c>
      <c r="AE95" s="245">
        <v>130</v>
      </c>
      <c r="AF95" s="245">
        <v>122</v>
      </c>
      <c r="AG95" s="272"/>
      <c r="AH95" s="226">
        <f t="shared" si="29"/>
        <v>132.30000000000001</v>
      </c>
      <c r="AI95" s="227">
        <f t="shared" si="33"/>
        <v>122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65.400000000000006</v>
      </c>
      <c r="C96" s="276">
        <v>65.400000000000006</v>
      </c>
      <c r="D96" s="276">
        <v>65.599999999999994</v>
      </c>
      <c r="E96" s="276">
        <v>65.3</v>
      </c>
      <c r="F96" s="276">
        <v>65.3</v>
      </c>
      <c r="G96" s="276">
        <v>65.3</v>
      </c>
      <c r="H96" s="276">
        <v>65.3</v>
      </c>
      <c r="I96" s="276">
        <v>65</v>
      </c>
      <c r="J96" s="276">
        <v>65</v>
      </c>
      <c r="K96" s="276">
        <v>64</v>
      </c>
      <c r="L96" s="276">
        <v>64</v>
      </c>
      <c r="M96" s="276">
        <v>64</v>
      </c>
      <c r="N96" s="276">
        <v>64</v>
      </c>
      <c r="O96" s="276">
        <v>63.4</v>
      </c>
      <c r="P96" s="276">
        <v>63.4</v>
      </c>
      <c r="Q96" s="276">
        <v>62.3</v>
      </c>
      <c r="R96" s="276">
        <v>62.9</v>
      </c>
      <c r="S96" s="276">
        <v>63.9</v>
      </c>
      <c r="T96" s="276">
        <v>63.6</v>
      </c>
      <c r="U96" s="276">
        <v>63.6</v>
      </c>
      <c r="V96" s="276">
        <v>65.2</v>
      </c>
      <c r="W96" s="276">
        <v>65.2</v>
      </c>
      <c r="X96" s="276">
        <v>65.2</v>
      </c>
      <c r="Y96" s="276">
        <v>65.2</v>
      </c>
      <c r="Z96" s="276">
        <v>65.2</v>
      </c>
      <c r="AA96" s="276">
        <v>65.2</v>
      </c>
      <c r="AB96" s="276">
        <v>65.5</v>
      </c>
      <c r="AC96" s="276">
        <v>65.5</v>
      </c>
      <c r="AD96" s="276">
        <v>65.2</v>
      </c>
      <c r="AE96" s="276">
        <v>65.2</v>
      </c>
      <c r="AF96" s="276">
        <v>65.2</v>
      </c>
      <c r="AG96" s="277"/>
      <c r="AH96" s="226">
        <f t="shared" si="29"/>
        <v>65.599999999999994</v>
      </c>
      <c r="AI96" s="227">
        <f t="shared" si="33"/>
        <v>62.3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29"/>
        <v>0</v>
      </c>
      <c r="AI97" s="227">
        <f t="shared" si="33"/>
        <v>0</v>
      </c>
    </row>
    <row r="98" spans="1:37" ht="15.75" thickBot="1" x14ac:dyDescent="0.3">
      <c r="A98" s="279" t="s">
        <v>102</v>
      </c>
      <c r="B98" s="280">
        <f t="shared" ref="B98:AF98" si="52">SUM(B15,B18,B21:B22,B46,B48:B49,B51,B53,B99:B103,B125,B131,B137,B146,B148,B160,B167,B170:B171,B178,B180,B182,B186:B188,B190:B192,B197,B203:B204,B206:B208,B216,B221)</f>
        <v>38.999999999999986</v>
      </c>
      <c r="C98" s="280">
        <f t="shared" si="52"/>
        <v>32.24</v>
      </c>
      <c r="D98" s="280">
        <f t="shared" si="52"/>
        <v>26.839999999999986</v>
      </c>
      <c r="E98" s="280">
        <f t="shared" si="52"/>
        <v>9.0399999999999956</v>
      </c>
      <c r="F98" s="280">
        <f t="shared" si="52"/>
        <v>7.4399999999999888</v>
      </c>
      <c r="G98" s="280">
        <f t="shared" si="52"/>
        <v>33.839999999999989</v>
      </c>
      <c r="H98" s="280">
        <f t="shared" si="52"/>
        <v>50.739999999999988</v>
      </c>
      <c r="I98" s="280">
        <f t="shared" si="52"/>
        <v>74.239999999999981</v>
      </c>
      <c r="J98" s="280">
        <f t="shared" si="52"/>
        <v>89.639999999999986</v>
      </c>
      <c r="K98" s="280">
        <f t="shared" si="52"/>
        <v>143.83999999999997</v>
      </c>
      <c r="L98" s="280">
        <f t="shared" si="52"/>
        <v>168.24</v>
      </c>
      <c r="M98" s="280">
        <f t="shared" si="52"/>
        <v>138.63999999999999</v>
      </c>
      <c r="N98" s="280">
        <f t="shared" si="52"/>
        <v>181.04</v>
      </c>
      <c r="O98" s="280">
        <f t="shared" si="52"/>
        <v>142.24</v>
      </c>
      <c r="P98" s="280">
        <f t="shared" si="52"/>
        <v>142.24</v>
      </c>
      <c r="Q98" s="280">
        <f t="shared" si="52"/>
        <v>164.8</v>
      </c>
      <c r="R98" s="280">
        <f t="shared" si="52"/>
        <v>177.5</v>
      </c>
      <c r="S98" s="280">
        <f t="shared" si="52"/>
        <v>158</v>
      </c>
      <c r="T98" s="280">
        <f t="shared" si="52"/>
        <v>183.9</v>
      </c>
      <c r="U98" s="280">
        <f t="shared" si="52"/>
        <v>184</v>
      </c>
      <c r="V98" s="280">
        <f t="shared" si="52"/>
        <v>232.09999999999997</v>
      </c>
      <c r="W98" s="280">
        <f t="shared" ref="W98:X98" si="53">SUM(W15,W18,W21:W22,W46,W48:W49,W51,W53,W99:W103,W125,W131,W137,W146,W148,W160,W167,W170:W171,W178,W180,W182,W186:W188,W190:W192,W197,W203:W204,W206:W208,W216,W221)</f>
        <v>232.09999999999997</v>
      </c>
      <c r="X98" s="280">
        <f t="shared" si="53"/>
        <v>232.09999999999997</v>
      </c>
      <c r="Y98" s="280">
        <f t="shared" ref="Y98" si="54">SUM(Y15,Y18,Y21:Y22,Y46,Y48:Y49,Y51,Y53,Y99:Y103,Y125,Y131,Y137,Y146,Y148,Y160,Y167,Y170:Y171,Y178,Y180,Y182,Y186:Y188,Y190:Y192,Y197,Y203:Y204,Y206:Y208,Y216,Y221)</f>
        <v>280</v>
      </c>
      <c r="Z98" s="280">
        <f t="shared" si="52"/>
        <v>268.00000000000006</v>
      </c>
      <c r="AA98" s="280">
        <f t="shared" si="52"/>
        <v>247.60000000000005</v>
      </c>
      <c r="AB98" s="280">
        <f t="shared" si="52"/>
        <v>209.80000000000004</v>
      </c>
      <c r="AC98" s="280">
        <f t="shared" si="52"/>
        <v>209.80000000000004</v>
      </c>
      <c r="AD98" s="280">
        <f t="shared" si="52"/>
        <v>196.80000000000004</v>
      </c>
      <c r="AE98" s="280">
        <f t="shared" si="52"/>
        <v>106.10000000000005</v>
      </c>
      <c r="AF98" s="280">
        <f t="shared" si="52"/>
        <v>78.30000000000004</v>
      </c>
      <c r="AG98" s="281"/>
      <c r="AH98" s="226">
        <f>MAX(C98:AF98)</f>
        <v>280</v>
      </c>
      <c r="AI98" s="227">
        <f>MIN(C98:AF98)</f>
        <v>7.4399999999999888</v>
      </c>
    </row>
    <row r="99" spans="1:37" x14ac:dyDescent="0.25">
      <c r="A99" s="268" t="s">
        <v>103</v>
      </c>
      <c r="B99" s="282">
        <v>24.2</v>
      </c>
      <c r="C99" s="282">
        <v>25</v>
      </c>
      <c r="D99" s="282">
        <v>27.4</v>
      </c>
      <c r="E99" s="282">
        <v>5.5</v>
      </c>
      <c r="F99" s="282">
        <v>7.5</v>
      </c>
      <c r="G99" s="282">
        <v>8.9</v>
      </c>
      <c r="H99" s="282">
        <v>14</v>
      </c>
      <c r="I99" s="282">
        <v>21.6</v>
      </c>
      <c r="J99" s="282">
        <v>20.6</v>
      </c>
      <c r="K99" s="282">
        <v>26.7</v>
      </c>
      <c r="L99" s="282">
        <v>24.5</v>
      </c>
      <c r="M99" s="282">
        <v>25.6</v>
      </c>
      <c r="N99" s="282">
        <f>42+28</f>
        <v>70</v>
      </c>
      <c r="O99" s="282">
        <v>33.5</v>
      </c>
      <c r="P99" s="282">
        <v>33.5</v>
      </c>
      <c r="Q99" s="282">
        <v>46.3</v>
      </c>
      <c r="R99" s="282">
        <v>30</v>
      </c>
      <c r="S99" s="282">
        <v>24.6</v>
      </c>
      <c r="T99" s="282">
        <v>20</v>
      </c>
      <c r="U99" s="282">
        <v>20</v>
      </c>
      <c r="V99" s="282">
        <v>31.4</v>
      </c>
      <c r="W99" s="282">
        <v>31.4</v>
      </c>
      <c r="X99" s="282">
        <v>31.4</v>
      </c>
      <c r="Y99" s="282">
        <v>23.4</v>
      </c>
      <c r="Z99" s="282">
        <v>18.2</v>
      </c>
      <c r="AA99" s="282">
        <v>26.1</v>
      </c>
      <c r="AB99" s="282">
        <v>20</v>
      </c>
      <c r="AC99" s="282">
        <v>20</v>
      </c>
      <c r="AD99" s="282">
        <v>18</v>
      </c>
      <c r="AE99" s="282">
        <v>15.5</v>
      </c>
      <c r="AF99" s="282">
        <v>12.5</v>
      </c>
      <c r="AG99" s="283">
        <v>75</v>
      </c>
      <c r="AH99" s="226">
        <f t="shared" ref="AH99:AH107" si="55">IF(ABS(MAX(C99:AF99))&gt;ABS(MIN(C99:AF99)),MAX(C99:AF99),MIN(C99:AF99))</f>
        <v>70</v>
      </c>
      <c r="AI99" s="284">
        <f t="shared" ref="AI99:AI107" si="56">INDEX($C$9:$AF$9,1,MATCH(AH99,C99:AF99,0))</f>
        <v>0.375</v>
      </c>
    </row>
    <row r="100" spans="1:37" x14ac:dyDescent="0.25">
      <c r="A100" s="271" t="s">
        <v>269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>
        <v>50.7</v>
      </c>
      <c r="W100" s="285">
        <v>50.7</v>
      </c>
      <c r="X100" s="285">
        <v>50.7</v>
      </c>
      <c r="Y100" s="285">
        <v>37.6</v>
      </c>
      <c r="Z100" s="285">
        <v>30.6</v>
      </c>
      <c r="AA100" s="285">
        <v>41.4</v>
      </c>
      <c r="AB100" s="285">
        <v>34</v>
      </c>
      <c r="AC100" s="285">
        <v>34</v>
      </c>
      <c r="AD100" s="285">
        <v>52</v>
      </c>
      <c r="AE100" s="285">
        <v>27.8</v>
      </c>
      <c r="AF100" s="285">
        <v>27</v>
      </c>
      <c r="AG100" s="283">
        <v>240</v>
      </c>
      <c r="AH100" s="226">
        <f t="shared" ref="AH100" si="57">IF(ABS(MAX(C100:AF100))&gt;ABS(MIN(C100:AF100)),MAX(C100:AF100),MIN(C100:AF100))</f>
        <v>52</v>
      </c>
      <c r="AI100" s="284">
        <f t="shared" ref="AI100" si="58">INDEX($C$9:$AF$9,1,MATCH(AH100,C100:AF100,0))</f>
        <v>0.875</v>
      </c>
    </row>
    <row r="101" spans="1:37" x14ac:dyDescent="0.25">
      <c r="A101" s="271" t="s">
        <v>104</v>
      </c>
      <c r="B101" s="285">
        <f>-68-71</f>
        <v>-139</v>
      </c>
      <c r="C101" s="285">
        <v>-144.19999999999999</v>
      </c>
      <c r="D101" s="285">
        <f>-68-72.9</f>
        <v>-140.9</v>
      </c>
      <c r="E101" s="285">
        <v>-146</v>
      </c>
      <c r="F101" s="285">
        <v>-145</v>
      </c>
      <c r="G101" s="285">
        <v>-130</v>
      </c>
      <c r="H101" s="285">
        <v>-120</v>
      </c>
      <c r="I101" s="285">
        <v>-108</v>
      </c>
      <c r="J101" s="285">
        <v>-95</v>
      </c>
      <c r="K101" s="285">
        <v>-104</v>
      </c>
      <c r="L101" s="285">
        <v>-99</v>
      </c>
      <c r="M101" s="285">
        <v>-95</v>
      </c>
      <c r="N101" s="285">
        <v>-97</v>
      </c>
      <c r="O101" s="285">
        <v>-100</v>
      </c>
      <c r="P101" s="285">
        <v>-100</v>
      </c>
      <c r="Q101" s="285">
        <v>-91</v>
      </c>
      <c r="R101" s="285">
        <v>-60</v>
      </c>
      <c r="S101" s="285">
        <v>-116</v>
      </c>
      <c r="T101" s="285">
        <v>-98</v>
      </c>
      <c r="U101" s="285">
        <v>-92</v>
      </c>
      <c r="V101" s="285">
        <v>-95.2</v>
      </c>
      <c r="W101" s="285">
        <v>-95.2</v>
      </c>
      <c r="X101" s="285">
        <v>-95.2</v>
      </c>
      <c r="Y101" s="285">
        <v>-70.400000000000006</v>
      </c>
      <c r="Z101" s="285">
        <v>-69.7</v>
      </c>
      <c r="AA101" s="285">
        <v>-85.9</v>
      </c>
      <c r="AB101" s="285">
        <v>-97</v>
      </c>
      <c r="AC101" s="285">
        <v>-97</v>
      </c>
      <c r="AD101" s="285">
        <v>-110</v>
      </c>
      <c r="AE101" s="285">
        <v>-120</v>
      </c>
      <c r="AF101" s="285">
        <v>-140</v>
      </c>
      <c r="AG101" s="283">
        <v>240</v>
      </c>
      <c r="AH101" s="226">
        <f t="shared" si="55"/>
        <v>-146</v>
      </c>
      <c r="AI101" s="284">
        <f t="shared" si="56"/>
        <v>0.125</v>
      </c>
    </row>
    <row r="102" spans="1:37" x14ac:dyDescent="0.25">
      <c r="A102" s="271" t="s">
        <v>105</v>
      </c>
      <c r="B102" s="285">
        <v>-6.8</v>
      </c>
      <c r="C102" s="285">
        <v>-10.1</v>
      </c>
      <c r="D102" s="285">
        <v>-10.9</v>
      </c>
      <c r="E102" s="285">
        <v>-12</v>
      </c>
      <c r="F102" s="285">
        <v>-10.7</v>
      </c>
      <c r="G102" s="285">
        <v>-5.7</v>
      </c>
      <c r="H102" s="285">
        <v>-3.9</v>
      </c>
      <c r="I102" s="285">
        <v>0</v>
      </c>
      <c r="J102" s="285">
        <v>2</v>
      </c>
      <c r="K102" s="285">
        <v>1.2</v>
      </c>
      <c r="L102" s="285">
        <v>5</v>
      </c>
      <c r="M102" s="285">
        <v>5.6</v>
      </c>
      <c r="N102" s="285">
        <v>5.6</v>
      </c>
      <c r="O102" s="285">
        <v>6.3</v>
      </c>
      <c r="P102" s="285">
        <v>6.3</v>
      </c>
      <c r="Q102" s="285">
        <v>8</v>
      </c>
      <c r="R102" s="285">
        <v>6</v>
      </c>
      <c r="S102" s="285">
        <v>7</v>
      </c>
      <c r="T102" s="285">
        <v>3.8</v>
      </c>
      <c r="U102" s="285">
        <v>8.5</v>
      </c>
      <c r="V102" s="285">
        <v>8.1</v>
      </c>
      <c r="W102" s="285">
        <v>8.1</v>
      </c>
      <c r="X102" s="285">
        <v>8.1</v>
      </c>
      <c r="Y102" s="285">
        <v>14</v>
      </c>
      <c r="Z102" s="285">
        <v>16.399999999999999</v>
      </c>
      <c r="AA102" s="285">
        <v>12.3</v>
      </c>
      <c r="AB102" s="285">
        <v>4</v>
      </c>
      <c r="AC102" s="285">
        <v>4</v>
      </c>
      <c r="AD102" s="285">
        <v>0</v>
      </c>
      <c r="AE102" s="285">
        <v>-3</v>
      </c>
      <c r="AF102" s="285">
        <v>-7</v>
      </c>
      <c r="AG102" s="283">
        <v>60</v>
      </c>
      <c r="AH102" s="226">
        <f t="shared" si="55"/>
        <v>16.399999999999999</v>
      </c>
      <c r="AI102" s="284">
        <f t="shared" si="56"/>
        <v>0.79166666666666663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>
        <v>0</v>
      </c>
      <c r="F103" s="287">
        <v>0</v>
      </c>
      <c r="G103" s="287">
        <v>0</v>
      </c>
      <c r="H103" s="287">
        <v>0</v>
      </c>
      <c r="I103" s="287">
        <v>0</v>
      </c>
      <c r="J103" s="287">
        <v>0</v>
      </c>
      <c r="K103" s="287">
        <v>41.5</v>
      </c>
      <c r="L103" s="287">
        <v>43.3</v>
      </c>
      <c r="M103" s="287">
        <v>0</v>
      </c>
      <c r="N103" s="287">
        <v>0</v>
      </c>
      <c r="O103" s="287">
        <v>0</v>
      </c>
      <c r="P103" s="287">
        <v>0</v>
      </c>
      <c r="Q103" s="287">
        <v>0</v>
      </c>
      <c r="R103" s="287">
        <v>0</v>
      </c>
      <c r="S103" s="287">
        <v>40.9</v>
      </c>
      <c r="T103" s="287">
        <v>59.6</v>
      </c>
      <c r="U103" s="287">
        <v>49.5</v>
      </c>
      <c r="V103" s="287">
        <v>38.799999999999997</v>
      </c>
      <c r="W103" s="287">
        <v>38.799999999999997</v>
      </c>
      <c r="X103" s="287">
        <v>38.799999999999997</v>
      </c>
      <c r="Y103" s="287">
        <v>77.099999999999994</v>
      </c>
      <c r="Z103" s="287">
        <v>86.7</v>
      </c>
      <c r="AA103" s="287">
        <v>67.900000000000006</v>
      </c>
      <c r="AB103" s="287">
        <v>63</v>
      </c>
      <c r="AC103" s="287">
        <v>63</v>
      </c>
      <c r="AD103" s="287">
        <v>51</v>
      </c>
      <c r="AE103" s="287">
        <v>0</v>
      </c>
      <c r="AF103" s="287">
        <v>0</v>
      </c>
      <c r="AG103" s="288">
        <v>120</v>
      </c>
      <c r="AH103" s="226">
        <f t="shared" si="55"/>
        <v>86.7</v>
      </c>
      <c r="AI103" s="284">
        <f t="shared" si="56"/>
        <v>0.79166666666666663</v>
      </c>
    </row>
    <row r="104" spans="1:37" x14ac:dyDescent="0.25">
      <c r="A104" s="286" t="s">
        <v>107</v>
      </c>
      <c r="B104" s="287">
        <v>39.6</v>
      </c>
      <c r="C104" s="287">
        <v>33</v>
      </c>
      <c r="D104" s="287">
        <v>41.2</v>
      </c>
      <c r="E104" s="287">
        <v>24.4</v>
      </c>
      <c r="F104" s="287">
        <v>19</v>
      </c>
      <c r="G104" s="287">
        <v>47.4</v>
      </c>
      <c r="H104" s="287">
        <v>47.5</v>
      </c>
      <c r="I104" s="287">
        <v>31.2</v>
      </c>
      <c r="J104" s="287">
        <v>60</v>
      </c>
      <c r="K104" s="287">
        <v>48</v>
      </c>
      <c r="L104" s="287">
        <v>54.6</v>
      </c>
      <c r="M104" s="287">
        <v>50.3</v>
      </c>
      <c r="N104" s="287">
        <v>50.3</v>
      </c>
      <c r="O104" s="287">
        <v>45</v>
      </c>
      <c r="P104" s="287">
        <v>45</v>
      </c>
      <c r="Q104" s="287">
        <v>45.7</v>
      </c>
      <c r="R104" s="287">
        <v>88</v>
      </c>
      <c r="S104" s="287">
        <v>45.2</v>
      </c>
      <c r="T104" s="287">
        <v>58.9</v>
      </c>
      <c r="U104" s="287">
        <v>43.1</v>
      </c>
      <c r="V104" s="287">
        <v>39.200000000000003</v>
      </c>
      <c r="W104" s="287">
        <v>39.200000000000003</v>
      </c>
      <c r="X104" s="287">
        <v>39.200000000000003</v>
      </c>
      <c r="Y104" s="287">
        <v>66.900000000000006</v>
      </c>
      <c r="Z104" s="287">
        <v>79.599999999999994</v>
      </c>
      <c r="AA104" s="287">
        <v>62</v>
      </c>
      <c r="AB104" s="287">
        <v>64</v>
      </c>
      <c r="AC104" s="287">
        <v>64</v>
      </c>
      <c r="AD104" s="287">
        <v>55</v>
      </c>
      <c r="AE104" s="287">
        <v>53</v>
      </c>
      <c r="AF104" s="287">
        <v>44</v>
      </c>
      <c r="AG104" s="288"/>
      <c r="AH104" s="226">
        <f t="shared" si="55"/>
        <v>88</v>
      </c>
      <c r="AI104" s="284">
        <f t="shared" si="56"/>
        <v>0.54166666666666696</v>
      </c>
    </row>
    <row r="105" spans="1:37" x14ac:dyDescent="0.25">
      <c r="A105" s="286" t="s">
        <v>108</v>
      </c>
      <c r="B105" s="287">
        <v>64.099999999999994</v>
      </c>
      <c r="C105" s="287">
        <v>56.5</v>
      </c>
      <c r="D105" s="287">
        <v>62.8</v>
      </c>
      <c r="E105" s="287">
        <v>75</v>
      </c>
      <c r="F105" s="287">
        <v>60</v>
      </c>
      <c r="G105" s="287">
        <v>58.2</v>
      </c>
      <c r="H105" s="287">
        <v>55</v>
      </c>
      <c r="I105" s="287">
        <v>29.3</v>
      </c>
      <c r="J105" s="287">
        <v>35</v>
      </c>
      <c r="K105" s="287">
        <v>34.4</v>
      </c>
      <c r="L105" s="287">
        <v>41.5</v>
      </c>
      <c r="M105" s="287">
        <v>33.4</v>
      </c>
      <c r="N105" s="287">
        <v>33.4</v>
      </c>
      <c r="O105" s="287">
        <v>5</v>
      </c>
      <c r="P105" s="287">
        <v>5</v>
      </c>
      <c r="Q105" s="287">
        <v>-69.900000000000006</v>
      </c>
      <c r="R105" s="287">
        <v>26</v>
      </c>
      <c r="S105" s="287"/>
      <c r="T105" s="287"/>
      <c r="U105" s="287">
        <v>49.7</v>
      </c>
      <c r="V105" s="287">
        <v>46.2</v>
      </c>
      <c r="W105" s="287">
        <v>46.2</v>
      </c>
      <c r="X105" s="287">
        <v>46.2</v>
      </c>
      <c r="Y105" s="287">
        <v>65.7</v>
      </c>
      <c r="Z105" s="287">
        <v>79.2</v>
      </c>
      <c r="AA105" s="287">
        <v>52.9</v>
      </c>
      <c r="AB105" s="287">
        <v>67</v>
      </c>
      <c r="AC105" s="287">
        <v>67</v>
      </c>
      <c r="AD105" s="287">
        <v>64</v>
      </c>
      <c r="AE105" s="287">
        <v>68</v>
      </c>
      <c r="AF105" s="287">
        <v>54</v>
      </c>
      <c r="AG105" s="289"/>
      <c r="AH105" s="226">
        <f t="shared" si="55"/>
        <v>79.2</v>
      </c>
      <c r="AI105" s="284">
        <f t="shared" si="56"/>
        <v>0.79166666666666663</v>
      </c>
    </row>
    <row r="106" spans="1:37" x14ac:dyDescent="0.25">
      <c r="A106" s="290" t="s">
        <v>109</v>
      </c>
      <c r="B106" s="274">
        <v>106.2</v>
      </c>
      <c r="C106" s="274">
        <v>109.7</v>
      </c>
      <c r="D106" s="274">
        <v>110.5</v>
      </c>
      <c r="E106" s="274">
        <v>112.5</v>
      </c>
      <c r="F106" s="274">
        <v>109.9</v>
      </c>
      <c r="G106" s="274">
        <v>120</v>
      </c>
      <c r="H106" s="274">
        <v>117</v>
      </c>
      <c r="I106" s="274">
        <v>118</v>
      </c>
      <c r="J106" s="274">
        <v>119</v>
      </c>
      <c r="K106" s="274">
        <v>116</v>
      </c>
      <c r="L106" s="274">
        <v>111</v>
      </c>
      <c r="M106" s="274">
        <v>113.5</v>
      </c>
      <c r="N106" s="274">
        <v>113.5</v>
      </c>
      <c r="O106" s="274">
        <v>110</v>
      </c>
      <c r="P106" s="274">
        <v>110</v>
      </c>
      <c r="Q106" s="274">
        <v>93.5</v>
      </c>
      <c r="R106" s="274">
        <v>100</v>
      </c>
      <c r="S106" s="274">
        <v>111</v>
      </c>
      <c r="T106" s="274">
        <v>111.9</v>
      </c>
      <c r="U106" s="274">
        <v>116.4</v>
      </c>
      <c r="V106" s="274">
        <v>105.5</v>
      </c>
      <c r="W106" s="274">
        <v>105.5</v>
      </c>
      <c r="X106" s="274">
        <v>105.5</v>
      </c>
      <c r="Y106" s="274">
        <v>96.8</v>
      </c>
      <c r="Z106" s="274">
        <v>90.2</v>
      </c>
      <c r="AA106" s="274">
        <v>102.5</v>
      </c>
      <c r="AB106" s="274">
        <v>107</v>
      </c>
      <c r="AC106" s="274">
        <v>107</v>
      </c>
      <c r="AD106" s="274">
        <v>108</v>
      </c>
      <c r="AE106" s="274">
        <v>114</v>
      </c>
      <c r="AF106" s="274">
        <v>121</v>
      </c>
      <c r="AG106" s="289"/>
      <c r="AH106" s="226">
        <f t="shared" si="55"/>
        <v>121</v>
      </c>
      <c r="AI106" s="284">
        <f t="shared" si="56"/>
        <v>0.95833333333333304</v>
      </c>
    </row>
    <row r="107" spans="1:37" ht="15.75" thickBot="1" x14ac:dyDescent="0.3">
      <c r="A107" s="290" t="s">
        <v>110</v>
      </c>
      <c r="B107" s="274">
        <v>85.6</v>
      </c>
      <c r="C107" s="274">
        <v>90.1</v>
      </c>
      <c r="D107" s="274">
        <v>89.2</v>
      </c>
      <c r="E107" s="274">
        <v>93.6</v>
      </c>
      <c r="F107" s="274">
        <v>90.3</v>
      </c>
      <c r="G107" s="274">
        <v>70.7</v>
      </c>
      <c r="H107" s="274">
        <v>72.900000000000006</v>
      </c>
      <c r="I107" s="274">
        <v>73.8</v>
      </c>
      <c r="J107" s="274">
        <v>60</v>
      </c>
      <c r="K107" s="274">
        <v>68.599999999999994</v>
      </c>
      <c r="L107" s="274">
        <v>60.3</v>
      </c>
      <c r="M107" s="274">
        <v>59.3</v>
      </c>
      <c r="N107" s="274">
        <v>59.3</v>
      </c>
      <c r="O107" s="274">
        <v>64</v>
      </c>
      <c r="P107" s="274">
        <v>64</v>
      </c>
      <c r="Q107" s="274">
        <v>68</v>
      </c>
      <c r="R107" s="274">
        <v>39</v>
      </c>
      <c r="S107" s="274">
        <v>69.599999999999994</v>
      </c>
      <c r="T107" s="274">
        <v>56.3</v>
      </c>
      <c r="U107" s="274">
        <v>51.7</v>
      </c>
      <c r="V107" s="274">
        <v>64.400000000000006</v>
      </c>
      <c r="W107" s="274">
        <v>64.400000000000006</v>
      </c>
      <c r="X107" s="274">
        <v>64.400000000000006</v>
      </c>
      <c r="Y107" s="274">
        <v>50.5</v>
      </c>
      <c r="Z107" s="274">
        <v>47.5</v>
      </c>
      <c r="AA107" s="274">
        <v>51.4</v>
      </c>
      <c r="AB107" s="274">
        <v>55</v>
      </c>
      <c r="AC107" s="274">
        <v>58</v>
      </c>
      <c r="AD107" s="274">
        <v>63</v>
      </c>
      <c r="AE107" s="274">
        <v>70</v>
      </c>
      <c r="AF107" s="274">
        <v>90</v>
      </c>
      <c r="AG107" s="289"/>
      <c r="AH107" s="226">
        <f t="shared" si="55"/>
        <v>93.6</v>
      </c>
      <c r="AI107" s="284">
        <f t="shared" si="56"/>
        <v>0.125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59">SUM(C109:C213)</f>
        <v>0</v>
      </c>
      <c r="D214" s="307">
        <f t="shared" si="59"/>
        <v>0</v>
      </c>
      <c r="E214" s="307">
        <f t="shared" si="59"/>
        <v>0</v>
      </c>
      <c r="F214" s="307">
        <f t="shared" si="59"/>
        <v>0</v>
      </c>
      <c r="G214" s="307">
        <f t="shared" si="59"/>
        <v>0</v>
      </c>
      <c r="H214" s="307">
        <f t="shared" si="59"/>
        <v>0</v>
      </c>
      <c r="I214" s="307">
        <f t="shared" si="59"/>
        <v>0</v>
      </c>
      <c r="J214" s="307">
        <f t="shared" si="59"/>
        <v>0</v>
      </c>
      <c r="K214" s="307">
        <f t="shared" si="59"/>
        <v>0</v>
      </c>
      <c r="L214" s="307">
        <f t="shared" si="59"/>
        <v>0</v>
      </c>
      <c r="M214" s="307">
        <f t="shared" si="59"/>
        <v>0</v>
      </c>
      <c r="N214" s="307">
        <f t="shared" si="59"/>
        <v>0</v>
      </c>
      <c r="O214" s="307">
        <f t="shared" si="59"/>
        <v>0</v>
      </c>
      <c r="P214" s="307">
        <f t="shared" si="59"/>
        <v>0</v>
      </c>
      <c r="Q214" s="307">
        <f t="shared" si="59"/>
        <v>0</v>
      </c>
      <c r="R214" s="307">
        <f t="shared" si="59"/>
        <v>0</v>
      </c>
      <c r="S214" s="307">
        <f t="shared" si="59"/>
        <v>0</v>
      </c>
      <c r="T214" s="307">
        <f t="shared" si="59"/>
        <v>0</v>
      </c>
      <c r="U214" s="307">
        <f t="shared" si="59"/>
        <v>0</v>
      </c>
      <c r="V214" s="307">
        <f t="shared" si="59"/>
        <v>0</v>
      </c>
      <c r="W214" s="307">
        <f t="shared" si="59"/>
        <v>0</v>
      </c>
      <c r="X214" s="307">
        <f t="shared" si="59"/>
        <v>0</v>
      </c>
      <c r="Y214" s="307">
        <f t="shared" si="59"/>
        <v>0</v>
      </c>
      <c r="Z214" s="307">
        <f t="shared" si="59"/>
        <v>0</v>
      </c>
      <c r="AA214" s="307">
        <f t="shared" si="59"/>
        <v>0</v>
      </c>
      <c r="AB214" s="307">
        <f t="shared" si="59"/>
        <v>0</v>
      </c>
      <c r="AC214" s="307">
        <f t="shared" si="59"/>
        <v>0</v>
      </c>
      <c r="AD214" s="307">
        <f t="shared" si="59"/>
        <v>0</v>
      </c>
      <c r="AE214" s="307">
        <f t="shared" si="59"/>
        <v>0</v>
      </c>
      <c r="AF214" s="308">
        <f t="shared" si="59"/>
        <v>0</v>
      </c>
      <c r="AG214" s="309">
        <f t="shared" si="59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60">AF216</f>
        <v>0</v>
      </c>
      <c r="C216" s="312">
        <v>0.3</v>
      </c>
      <c r="D216" s="312">
        <f t="shared" ref="D216:P221" si="61">C216</f>
        <v>0.3</v>
      </c>
      <c r="E216" s="312">
        <f t="shared" si="61"/>
        <v>0.3</v>
      </c>
      <c r="F216" s="312">
        <f t="shared" si="61"/>
        <v>0.3</v>
      </c>
      <c r="G216" s="312">
        <f t="shared" si="61"/>
        <v>0.3</v>
      </c>
      <c r="H216" s="312">
        <f t="shared" si="61"/>
        <v>0.3</v>
      </c>
      <c r="I216" s="312">
        <f t="shared" si="61"/>
        <v>0.3</v>
      </c>
      <c r="J216" s="312">
        <f t="shared" si="61"/>
        <v>0.3</v>
      </c>
      <c r="K216" s="312">
        <f t="shared" si="61"/>
        <v>0.3</v>
      </c>
      <c r="L216" s="312">
        <f t="shared" si="61"/>
        <v>0.3</v>
      </c>
      <c r="M216" s="312">
        <f t="shared" si="61"/>
        <v>0.3</v>
      </c>
      <c r="N216" s="312">
        <f t="shared" si="61"/>
        <v>0.3</v>
      </c>
      <c r="O216" s="312">
        <f t="shared" si="61"/>
        <v>0.3</v>
      </c>
      <c r="P216" s="312">
        <f t="shared" si="61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60"/>
        <v>0</v>
      </c>
      <c r="C217" s="299">
        <v>0.4</v>
      </c>
      <c r="D217" s="299">
        <f t="shared" si="61"/>
        <v>0.4</v>
      </c>
      <c r="E217" s="299">
        <f t="shared" si="61"/>
        <v>0.4</v>
      </c>
      <c r="F217" s="299">
        <f t="shared" si="61"/>
        <v>0.4</v>
      </c>
      <c r="G217" s="299">
        <f t="shared" si="61"/>
        <v>0.4</v>
      </c>
      <c r="H217" s="299">
        <f t="shared" si="61"/>
        <v>0.4</v>
      </c>
      <c r="I217" s="299">
        <f t="shared" si="61"/>
        <v>0.4</v>
      </c>
      <c r="J217" s="299">
        <f t="shared" si="61"/>
        <v>0.4</v>
      </c>
      <c r="K217" s="299">
        <f t="shared" si="61"/>
        <v>0.4</v>
      </c>
      <c r="L217" s="299">
        <f t="shared" si="61"/>
        <v>0.4</v>
      </c>
      <c r="M217" s="299">
        <f t="shared" si="61"/>
        <v>0.4</v>
      </c>
      <c r="N217" s="299">
        <f t="shared" si="61"/>
        <v>0.4</v>
      </c>
      <c r="O217" s="299">
        <f t="shared" si="61"/>
        <v>0.4</v>
      </c>
      <c r="P217" s="299">
        <f t="shared" si="61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60"/>
        <v>0</v>
      </c>
      <c r="C218" s="299">
        <v>1.5</v>
      </c>
      <c r="D218" s="299">
        <f t="shared" si="61"/>
        <v>1.5</v>
      </c>
      <c r="E218" s="299">
        <f t="shared" si="61"/>
        <v>1.5</v>
      </c>
      <c r="F218" s="299">
        <f t="shared" si="61"/>
        <v>1.5</v>
      </c>
      <c r="G218" s="299">
        <f t="shared" si="61"/>
        <v>1.5</v>
      </c>
      <c r="H218" s="299">
        <f t="shared" si="61"/>
        <v>1.5</v>
      </c>
      <c r="I218" s="299">
        <f t="shared" si="61"/>
        <v>1.5</v>
      </c>
      <c r="J218" s="299">
        <f t="shared" si="61"/>
        <v>1.5</v>
      </c>
      <c r="K218" s="299">
        <f t="shared" si="61"/>
        <v>1.5</v>
      </c>
      <c r="L218" s="299">
        <f t="shared" si="61"/>
        <v>1.5</v>
      </c>
      <c r="M218" s="299">
        <f t="shared" si="61"/>
        <v>1.5</v>
      </c>
      <c r="N218" s="299">
        <f t="shared" si="61"/>
        <v>1.5</v>
      </c>
      <c r="O218" s="299">
        <f t="shared" si="61"/>
        <v>1.5</v>
      </c>
      <c r="P218" s="299">
        <f t="shared" si="61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60"/>
        <v>0</v>
      </c>
      <c r="C219" s="299">
        <v>0.3</v>
      </c>
      <c r="D219" s="299">
        <f t="shared" si="61"/>
        <v>0.3</v>
      </c>
      <c r="E219" s="299">
        <f t="shared" si="61"/>
        <v>0.3</v>
      </c>
      <c r="F219" s="299">
        <f t="shared" si="61"/>
        <v>0.3</v>
      </c>
      <c r="G219" s="299">
        <f t="shared" si="61"/>
        <v>0.3</v>
      </c>
      <c r="H219" s="299">
        <f t="shared" si="61"/>
        <v>0.3</v>
      </c>
      <c r="I219" s="299">
        <f t="shared" si="61"/>
        <v>0.3</v>
      </c>
      <c r="J219" s="299">
        <f t="shared" si="61"/>
        <v>0.3</v>
      </c>
      <c r="K219" s="299">
        <f t="shared" si="61"/>
        <v>0.3</v>
      </c>
      <c r="L219" s="299">
        <f t="shared" si="61"/>
        <v>0.3</v>
      </c>
      <c r="M219" s="299">
        <f t="shared" si="61"/>
        <v>0.3</v>
      </c>
      <c r="N219" s="299">
        <f t="shared" si="61"/>
        <v>0.3</v>
      </c>
      <c r="O219" s="299">
        <f t="shared" si="61"/>
        <v>0.3</v>
      </c>
      <c r="P219" s="299">
        <f t="shared" si="61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60"/>
        <v>0</v>
      </c>
      <c r="C220" s="299">
        <v>0.4</v>
      </c>
      <c r="D220" s="299">
        <f t="shared" si="61"/>
        <v>0.4</v>
      </c>
      <c r="E220" s="299">
        <f t="shared" si="61"/>
        <v>0.4</v>
      </c>
      <c r="F220" s="299">
        <f t="shared" si="61"/>
        <v>0.4</v>
      </c>
      <c r="G220" s="299">
        <f t="shared" si="61"/>
        <v>0.4</v>
      </c>
      <c r="H220" s="299">
        <f t="shared" si="61"/>
        <v>0.4</v>
      </c>
      <c r="I220" s="299">
        <f t="shared" si="61"/>
        <v>0.4</v>
      </c>
      <c r="J220" s="299">
        <f t="shared" si="61"/>
        <v>0.4</v>
      </c>
      <c r="K220" s="299">
        <f t="shared" si="61"/>
        <v>0.4</v>
      </c>
      <c r="L220" s="299">
        <f t="shared" si="61"/>
        <v>0.4</v>
      </c>
      <c r="M220" s="299">
        <f t="shared" si="61"/>
        <v>0.4</v>
      </c>
      <c r="N220" s="299">
        <f t="shared" si="61"/>
        <v>0.4</v>
      </c>
      <c r="O220" s="299">
        <f t="shared" si="61"/>
        <v>0.4</v>
      </c>
      <c r="P220" s="299">
        <f t="shared" si="61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60"/>
        <v>0</v>
      </c>
      <c r="C221" s="303">
        <v>0.64</v>
      </c>
      <c r="D221" s="303">
        <f t="shared" si="61"/>
        <v>0.64</v>
      </c>
      <c r="E221" s="303">
        <f t="shared" si="61"/>
        <v>0.64</v>
      </c>
      <c r="F221" s="303">
        <f t="shared" si="61"/>
        <v>0.64</v>
      </c>
      <c r="G221" s="303">
        <f t="shared" si="61"/>
        <v>0.64</v>
      </c>
      <c r="H221" s="303">
        <f t="shared" si="61"/>
        <v>0.64</v>
      </c>
      <c r="I221" s="303">
        <f t="shared" si="61"/>
        <v>0.64</v>
      </c>
      <c r="J221" s="303">
        <f t="shared" si="61"/>
        <v>0.64</v>
      </c>
      <c r="K221" s="303">
        <f t="shared" si="61"/>
        <v>0.64</v>
      </c>
      <c r="L221" s="303">
        <f t="shared" si="61"/>
        <v>0.64</v>
      </c>
      <c r="M221" s="303">
        <f t="shared" si="61"/>
        <v>0.64</v>
      </c>
      <c r="N221" s="303">
        <f t="shared" si="61"/>
        <v>0.64</v>
      </c>
      <c r="O221" s="303">
        <f t="shared" si="61"/>
        <v>0.64</v>
      </c>
      <c r="P221" s="303">
        <f t="shared" si="61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62">SUM(D216:D221)</f>
        <v>3.54</v>
      </c>
      <c r="E222" s="307">
        <f t="shared" si="62"/>
        <v>3.54</v>
      </c>
      <c r="F222" s="307">
        <f t="shared" si="62"/>
        <v>3.54</v>
      </c>
      <c r="G222" s="307">
        <f t="shared" si="62"/>
        <v>3.54</v>
      </c>
      <c r="H222" s="307">
        <f t="shared" si="62"/>
        <v>3.54</v>
      </c>
      <c r="I222" s="307">
        <f t="shared" si="62"/>
        <v>3.54</v>
      </c>
      <c r="J222" s="307">
        <f t="shared" si="62"/>
        <v>3.54</v>
      </c>
      <c r="K222" s="307">
        <f t="shared" si="62"/>
        <v>3.54</v>
      </c>
      <c r="L222" s="307">
        <f t="shared" si="62"/>
        <v>3.54</v>
      </c>
      <c r="M222" s="307">
        <f>SUM(M216:M221)</f>
        <v>3.54</v>
      </c>
      <c r="N222" s="307">
        <f t="shared" ref="N222:S222" si="63">SUM(N216:N221)</f>
        <v>3.54</v>
      </c>
      <c r="O222" s="307">
        <f t="shared" si="63"/>
        <v>3.54</v>
      </c>
      <c r="P222" s="307">
        <f t="shared" si="63"/>
        <v>3.54</v>
      </c>
      <c r="Q222" s="307">
        <f t="shared" si="63"/>
        <v>0</v>
      </c>
      <c r="R222" s="307">
        <f t="shared" si="63"/>
        <v>0</v>
      </c>
      <c r="S222" s="307">
        <f t="shared" si="63"/>
        <v>0</v>
      </c>
      <c r="T222" s="307">
        <f>SUM(T216:T221)</f>
        <v>0</v>
      </c>
      <c r="U222" s="307">
        <f t="shared" ref="U222:AG222" si="64">SUM(U216:U221)</f>
        <v>0</v>
      </c>
      <c r="V222" s="307">
        <f t="shared" si="64"/>
        <v>0</v>
      </c>
      <c r="W222" s="307">
        <f t="shared" si="64"/>
        <v>0</v>
      </c>
      <c r="X222" s="307">
        <f t="shared" si="64"/>
        <v>0</v>
      </c>
      <c r="Y222" s="307">
        <f t="shared" si="64"/>
        <v>0</v>
      </c>
      <c r="Z222" s="307">
        <f t="shared" si="64"/>
        <v>0</v>
      </c>
      <c r="AA222" s="307">
        <f t="shared" si="64"/>
        <v>0</v>
      </c>
      <c r="AB222" s="307">
        <f t="shared" si="64"/>
        <v>0</v>
      </c>
      <c r="AC222" s="307">
        <f t="shared" si="64"/>
        <v>0</v>
      </c>
      <c r="AD222" s="307">
        <f t="shared" si="64"/>
        <v>0</v>
      </c>
      <c r="AE222" s="307">
        <f t="shared" si="64"/>
        <v>0</v>
      </c>
      <c r="AF222" s="307">
        <f t="shared" si="64"/>
        <v>0</v>
      </c>
      <c r="AG222" s="317">
        <f t="shared" si="64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1795.0400000000002</v>
      </c>
      <c r="C231" s="333">
        <f>INDEX(G9:N9,1,MATCH(MAX(G79:N79),G79:N79,0))</f>
        <v>0.33333333333333331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26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str">
        <f ca="1">"Pie Chart of Daily Peak Demand(Inclusive of Export) of Nepal ("&amp;A4&amp;" "&amp;B4&amp;")"</f>
        <v>Pie Chart of Daily Peak Demand(Inclusive of Export) of Nepal (Nepali Date: 2079/02/26)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str">
        <f ca="1">"Daily Load Curve(Excluding of Export) of Nepal ("&amp;A4&amp;" "&amp;B4&amp;")"</f>
        <v>Daily Load Curve(Excluding of Export) of Nepal (Nepali Date: 2079/02/26)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65">B79</f>
        <v>1688.34</v>
      </c>
      <c r="U236" s="343">
        <f t="shared" si="65"/>
        <v>1744.44</v>
      </c>
      <c r="V236" s="343">
        <f t="shared" si="65"/>
        <v>1731.9399999999998</v>
      </c>
      <c r="W236" s="343">
        <f t="shared" si="65"/>
        <v>1723.24</v>
      </c>
      <c r="X236" s="343">
        <f t="shared" si="65"/>
        <v>1708.3400000000001</v>
      </c>
      <c r="Y236" s="343">
        <f t="shared" si="65"/>
        <v>1713.3400000000001</v>
      </c>
      <c r="Z236" s="343">
        <f t="shared" si="65"/>
        <v>1719.2400000000002</v>
      </c>
      <c r="AA236" s="343">
        <f t="shared" si="65"/>
        <v>1719.2400000000002</v>
      </c>
      <c r="AB236" s="343">
        <f t="shared" si="65"/>
        <v>1720.64</v>
      </c>
      <c r="AC236" s="343">
        <f t="shared" si="65"/>
        <v>1756.0400000000002</v>
      </c>
      <c r="AD236" s="343">
        <f t="shared" si="65"/>
        <v>1779.0400000000002</v>
      </c>
      <c r="AE236" s="343">
        <f t="shared" si="65"/>
        <v>1795.0400000000002</v>
      </c>
      <c r="AF236" s="343">
        <f t="shared" si="65"/>
        <v>1766.44</v>
      </c>
      <c r="AG236" s="343">
        <f t="shared" si="65"/>
        <v>1818.44</v>
      </c>
      <c r="AH236" s="343">
        <f t="shared" si="65"/>
        <v>1835.44</v>
      </c>
      <c r="AI236" s="343">
        <f t="shared" si="65"/>
        <v>1858.54</v>
      </c>
      <c r="AJ236" s="343">
        <f t="shared" si="65"/>
        <v>1835.9400000000003</v>
      </c>
      <c r="AK236" s="343">
        <f t="shared" si="65"/>
        <v>1846.2400000000002</v>
      </c>
      <c r="AL236" s="343">
        <f t="shared" si="65"/>
        <v>1824.2400000000002</v>
      </c>
      <c r="AM236" s="343">
        <f t="shared" si="65"/>
        <v>1820.64</v>
      </c>
      <c r="AN236" s="343">
        <f t="shared" si="65"/>
        <v>1826.44</v>
      </c>
      <c r="AO236" s="343">
        <f t="shared" si="65"/>
        <v>1796.44</v>
      </c>
      <c r="AP236" s="343">
        <f t="shared" si="65"/>
        <v>1796.74</v>
      </c>
      <c r="AQ236" s="343">
        <f t="shared" si="65"/>
        <v>1798.74</v>
      </c>
      <c r="AR236" s="343">
        <f t="shared" si="65"/>
        <v>1890.24</v>
      </c>
      <c r="AS236" s="343">
        <f t="shared" si="65"/>
        <v>1879.5400000000002</v>
      </c>
      <c r="AT236" s="343">
        <f t="shared" si="65"/>
        <v>1848.6399999999999</v>
      </c>
      <c r="AU236" s="343">
        <f t="shared" si="65"/>
        <v>1854.6399999999999</v>
      </c>
      <c r="AV236" s="343">
        <f t="shared" si="65"/>
        <v>1867.6399999999999</v>
      </c>
      <c r="AW236" s="343">
        <f t="shared" si="65"/>
        <v>1859.6399999999999</v>
      </c>
      <c r="AX236" s="343">
        <f t="shared" si="65"/>
        <v>1840.6399999999999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66">C221</f>
        <v>0.64</v>
      </c>
      <c r="C257" s="346">
        <f t="shared" si="66"/>
        <v>0.64</v>
      </c>
      <c r="D257" s="346">
        <f t="shared" si="66"/>
        <v>0.64</v>
      </c>
      <c r="E257" s="346">
        <f t="shared" si="66"/>
        <v>0.64</v>
      </c>
      <c r="F257" s="346">
        <f t="shared" si="66"/>
        <v>0.64</v>
      </c>
      <c r="G257" s="346">
        <f t="shared" si="66"/>
        <v>0.64</v>
      </c>
      <c r="H257" s="346">
        <f t="shared" si="66"/>
        <v>0.64</v>
      </c>
      <c r="I257" s="346">
        <f t="shared" si="66"/>
        <v>0.64</v>
      </c>
      <c r="J257" s="346">
        <f t="shared" si="66"/>
        <v>0.64</v>
      </c>
      <c r="K257" s="346">
        <f t="shared" si="66"/>
        <v>0.64</v>
      </c>
      <c r="L257" s="346">
        <f t="shared" si="66"/>
        <v>0.64</v>
      </c>
      <c r="M257" s="346">
        <f t="shared" si="66"/>
        <v>0.64</v>
      </c>
      <c r="N257" s="346">
        <f t="shared" si="66"/>
        <v>0.64</v>
      </c>
      <c r="O257" s="346">
        <f t="shared" si="66"/>
        <v>0.64</v>
      </c>
      <c r="P257" s="346">
        <f t="shared" si="66"/>
        <v>0</v>
      </c>
      <c r="Q257" s="346">
        <f t="shared" si="66"/>
        <v>0</v>
      </c>
      <c r="R257" s="346">
        <f t="shared" si="66"/>
        <v>0</v>
      </c>
      <c r="S257" s="346">
        <f t="shared" si="66"/>
        <v>0</v>
      </c>
      <c r="T257" s="346">
        <f t="shared" si="66"/>
        <v>0</v>
      </c>
      <c r="U257" s="346">
        <f t="shared" si="66"/>
        <v>0</v>
      </c>
      <c r="V257" s="346">
        <f t="shared" si="66"/>
        <v>0</v>
      </c>
      <c r="W257" s="346">
        <f t="shared" si="66"/>
        <v>0</v>
      </c>
      <c r="X257" s="346">
        <f t="shared" si="66"/>
        <v>0</v>
      </c>
      <c r="Y257" s="346">
        <f t="shared" si="66"/>
        <v>0</v>
      </c>
      <c r="Z257" s="346">
        <f t="shared" si="66"/>
        <v>0</v>
      </c>
      <c r="AA257" s="346">
        <f t="shared" si="66"/>
        <v>0</v>
      </c>
      <c r="AB257" s="346">
        <f t="shared" si="66"/>
        <v>0</v>
      </c>
      <c r="AC257" s="346">
        <f t="shared" si="66"/>
        <v>0</v>
      </c>
      <c r="AD257" s="346">
        <f t="shared" si="66"/>
        <v>0</v>
      </c>
      <c r="AE257" s="346">
        <f t="shared" si="66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67">IF(C225&lt;100,"",C225-520)</f>
        <v/>
      </c>
      <c r="D258" s="347" t="str">
        <f t="shared" si="67"/>
        <v/>
      </c>
      <c r="E258" s="347" t="str">
        <f t="shared" si="67"/>
        <v/>
      </c>
      <c r="F258" s="347" t="str">
        <f t="shared" si="67"/>
        <v/>
      </c>
      <c r="G258" s="347" t="str">
        <f t="shared" si="67"/>
        <v/>
      </c>
      <c r="H258" s="347" t="str">
        <f t="shared" si="67"/>
        <v/>
      </c>
      <c r="I258" s="347" t="str">
        <f t="shared" si="67"/>
        <v/>
      </c>
      <c r="J258" s="347" t="str">
        <f t="shared" si="67"/>
        <v/>
      </c>
      <c r="K258" s="347" t="str">
        <f t="shared" si="67"/>
        <v/>
      </c>
      <c r="L258" s="347" t="str">
        <f t="shared" si="67"/>
        <v/>
      </c>
      <c r="M258" s="347" t="str">
        <f t="shared" si="67"/>
        <v/>
      </c>
      <c r="N258" s="347" t="str">
        <f t="shared" si="67"/>
        <v/>
      </c>
      <c r="O258" s="347" t="str">
        <f t="shared" si="67"/>
        <v/>
      </c>
      <c r="P258" s="347" t="str">
        <f t="shared" si="67"/>
        <v/>
      </c>
      <c r="Q258" s="347" t="str">
        <f t="shared" si="67"/>
        <v/>
      </c>
      <c r="R258" s="347" t="str">
        <f t="shared" si="67"/>
        <v/>
      </c>
      <c r="S258" s="347" t="str">
        <f t="shared" si="67"/>
        <v/>
      </c>
      <c r="T258" s="347" t="str">
        <f t="shared" si="67"/>
        <v/>
      </c>
      <c r="U258" s="347" t="str">
        <f t="shared" si="67"/>
        <v/>
      </c>
      <c r="V258" s="347" t="str">
        <f t="shared" si="67"/>
        <v/>
      </c>
      <c r="W258" s="347" t="str">
        <f t="shared" si="67"/>
        <v/>
      </c>
      <c r="X258" s="347" t="str">
        <f t="shared" si="67"/>
        <v/>
      </c>
      <c r="Y258" s="347" t="str">
        <f t="shared" si="67"/>
        <v/>
      </c>
      <c r="Z258" s="347" t="str">
        <f t="shared" si="67"/>
        <v/>
      </c>
      <c r="AA258" s="347" t="str">
        <f t="shared" si="67"/>
        <v/>
      </c>
      <c r="AB258" s="347" t="str">
        <f t="shared" si="67"/>
        <v/>
      </c>
      <c r="AC258" s="347" t="str">
        <f t="shared" si="67"/>
        <v/>
      </c>
      <c r="AD258" s="347" t="str">
        <f t="shared" si="67"/>
        <v/>
      </c>
      <c r="AE258" s="347" t="str">
        <f t="shared" si="67"/>
        <v/>
      </c>
      <c r="AF258" s="347" t="str">
        <f t="shared" si="67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68">IF(B226&lt;100,"",B226-620)</f>
        <v/>
      </c>
      <c r="C259" s="347" t="str">
        <f t="shared" si="68"/>
        <v/>
      </c>
      <c r="D259" s="347" t="str">
        <f t="shared" si="68"/>
        <v/>
      </c>
      <c r="E259" s="347" t="str">
        <f t="shared" si="68"/>
        <v/>
      </c>
      <c r="F259" s="347" t="str">
        <f t="shared" si="68"/>
        <v/>
      </c>
      <c r="G259" s="347" t="str">
        <f t="shared" si="68"/>
        <v/>
      </c>
      <c r="H259" s="347" t="str">
        <f t="shared" si="68"/>
        <v/>
      </c>
      <c r="I259" s="347" t="str">
        <f t="shared" si="68"/>
        <v/>
      </c>
      <c r="J259" s="347" t="str">
        <f t="shared" si="68"/>
        <v/>
      </c>
      <c r="K259" s="347" t="str">
        <f t="shared" si="68"/>
        <v/>
      </c>
      <c r="L259" s="347" t="str">
        <f t="shared" si="68"/>
        <v/>
      </c>
      <c r="M259" s="347" t="str">
        <f t="shared" si="68"/>
        <v/>
      </c>
      <c r="N259" s="347" t="str">
        <f t="shared" si="68"/>
        <v/>
      </c>
      <c r="O259" s="347" t="str">
        <f t="shared" si="68"/>
        <v/>
      </c>
      <c r="P259" s="347" t="str">
        <f t="shared" si="68"/>
        <v/>
      </c>
      <c r="Q259" s="347" t="str">
        <f t="shared" si="68"/>
        <v/>
      </c>
      <c r="R259" s="347" t="str">
        <f t="shared" si="68"/>
        <v/>
      </c>
      <c r="S259" s="347" t="str">
        <f t="shared" si="68"/>
        <v/>
      </c>
      <c r="T259" s="347" t="str">
        <f t="shared" si="68"/>
        <v/>
      </c>
      <c r="U259" s="347" t="str">
        <f t="shared" si="68"/>
        <v/>
      </c>
      <c r="V259" s="347" t="str">
        <f t="shared" si="68"/>
        <v/>
      </c>
      <c r="W259" s="347" t="str">
        <f t="shared" si="68"/>
        <v/>
      </c>
      <c r="X259" s="347" t="str">
        <f t="shared" si="68"/>
        <v/>
      </c>
      <c r="Y259" s="347" t="str">
        <f t="shared" si="68"/>
        <v/>
      </c>
      <c r="Z259" s="347" t="str">
        <f t="shared" si="68"/>
        <v/>
      </c>
      <c r="AA259" s="347" t="str">
        <f t="shared" si="68"/>
        <v/>
      </c>
      <c r="AB259" s="347" t="str">
        <f t="shared" si="68"/>
        <v/>
      </c>
      <c r="AC259" s="347" t="str">
        <f t="shared" si="68"/>
        <v/>
      </c>
      <c r="AD259" s="347" t="str">
        <f t="shared" si="68"/>
        <v/>
      </c>
      <c r="AE259" s="347" t="str">
        <f t="shared" si="68"/>
        <v/>
      </c>
      <c r="AF259" s="347" t="str">
        <f t="shared" si="68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69">IF(B227&lt;100,"",B227-330)</f>
        <v/>
      </c>
      <c r="C260" s="347" t="str">
        <f t="shared" si="69"/>
        <v/>
      </c>
      <c r="D260" s="347" t="str">
        <f t="shared" si="69"/>
        <v/>
      </c>
      <c r="E260" s="347" t="str">
        <f t="shared" si="69"/>
        <v/>
      </c>
      <c r="F260" s="347" t="str">
        <f t="shared" si="69"/>
        <v/>
      </c>
      <c r="G260" s="347" t="str">
        <f t="shared" si="69"/>
        <v/>
      </c>
      <c r="H260" s="347" t="str">
        <f t="shared" si="69"/>
        <v/>
      </c>
      <c r="I260" s="347" t="str">
        <f t="shared" si="69"/>
        <v/>
      </c>
      <c r="J260" s="347" t="str">
        <f t="shared" si="69"/>
        <v/>
      </c>
      <c r="K260" s="347" t="str">
        <f t="shared" si="69"/>
        <v/>
      </c>
      <c r="L260" s="347" t="str">
        <f t="shared" si="69"/>
        <v/>
      </c>
      <c r="M260" s="347" t="str">
        <f t="shared" si="69"/>
        <v/>
      </c>
      <c r="N260" s="347" t="str">
        <f t="shared" si="69"/>
        <v/>
      </c>
      <c r="O260" s="347" t="str">
        <f t="shared" si="69"/>
        <v/>
      </c>
      <c r="P260" s="347" t="str">
        <f t="shared" si="69"/>
        <v/>
      </c>
      <c r="Q260" s="347" t="str">
        <f t="shared" si="69"/>
        <v/>
      </c>
      <c r="R260" s="347" t="str">
        <f t="shared" si="69"/>
        <v/>
      </c>
      <c r="S260" s="347" t="str">
        <f t="shared" si="69"/>
        <v/>
      </c>
      <c r="T260" s="347" t="str">
        <f t="shared" si="69"/>
        <v/>
      </c>
      <c r="U260" s="347" t="str">
        <f t="shared" si="69"/>
        <v/>
      </c>
      <c r="V260" s="347" t="str">
        <f t="shared" si="69"/>
        <v/>
      </c>
      <c r="W260" s="347" t="str">
        <f t="shared" si="69"/>
        <v/>
      </c>
      <c r="X260" s="347" t="str">
        <f t="shared" si="69"/>
        <v/>
      </c>
      <c r="Y260" s="347" t="str">
        <f t="shared" si="69"/>
        <v/>
      </c>
      <c r="Z260" s="347" t="str">
        <f t="shared" si="69"/>
        <v/>
      </c>
      <c r="AA260" s="347" t="str">
        <f t="shared" si="69"/>
        <v/>
      </c>
      <c r="AB260" s="347" t="str">
        <f t="shared" si="69"/>
        <v/>
      </c>
      <c r="AC260" s="347" t="str">
        <f t="shared" si="69"/>
        <v/>
      </c>
      <c r="AD260" s="347" t="str">
        <f t="shared" si="69"/>
        <v/>
      </c>
      <c r="AE260" s="347" t="str">
        <f t="shared" si="69"/>
        <v/>
      </c>
      <c r="AF260" s="347" t="str">
        <f t="shared" si="69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70">IF(C228&lt;100,"",C228-1500)</f>
        <v/>
      </c>
      <c r="D261" s="347" t="str">
        <f t="shared" si="70"/>
        <v/>
      </c>
      <c r="E261" s="347" t="str">
        <f t="shared" si="70"/>
        <v/>
      </c>
      <c r="F261" s="347" t="str">
        <f t="shared" si="70"/>
        <v/>
      </c>
      <c r="G261" s="347" t="str">
        <f t="shared" si="70"/>
        <v/>
      </c>
      <c r="H261" s="347" t="str">
        <f t="shared" si="70"/>
        <v/>
      </c>
      <c r="I261" s="347" t="str">
        <f t="shared" si="70"/>
        <v/>
      </c>
      <c r="J261" s="347" t="str">
        <f t="shared" si="70"/>
        <v/>
      </c>
      <c r="K261" s="347" t="str">
        <f t="shared" si="70"/>
        <v/>
      </c>
      <c r="L261" s="347" t="str">
        <f t="shared" si="70"/>
        <v/>
      </c>
      <c r="M261" s="347" t="str">
        <f t="shared" si="70"/>
        <v/>
      </c>
      <c r="N261" s="347" t="str">
        <f t="shared" si="70"/>
        <v/>
      </c>
      <c r="O261" s="347" t="str">
        <f t="shared" si="70"/>
        <v/>
      </c>
      <c r="P261" s="347" t="str">
        <f t="shared" si="70"/>
        <v/>
      </c>
      <c r="Q261" s="347" t="str">
        <f t="shared" si="70"/>
        <v/>
      </c>
      <c r="R261" s="347" t="str">
        <f t="shared" si="70"/>
        <v/>
      </c>
      <c r="S261" s="347" t="str">
        <f t="shared" si="70"/>
        <v/>
      </c>
      <c r="T261" s="347" t="str">
        <f t="shared" si="70"/>
        <v/>
      </c>
      <c r="U261" s="347" t="str">
        <f t="shared" si="70"/>
        <v/>
      </c>
      <c r="V261" s="347" t="str">
        <f t="shared" si="70"/>
        <v/>
      </c>
      <c r="W261" s="347" t="str">
        <f t="shared" si="70"/>
        <v/>
      </c>
      <c r="X261" s="347" t="str">
        <f t="shared" si="70"/>
        <v/>
      </c>
      <c r="Y261" s="347" t="str">
        <f t="shared" si="70"/>
        <v/>
      </c>
      <c r="Z261" s="347" t="str">
        <f t="shared" si="70"/>
        <v/>
      </c>
      <c r="AA261" s="347" t="str">
        <f t="shared" si="70"/>
        <v/>
      </c>
      <c r="AB261" s="347" t="str">
        <f t="shared" si="70"/>
        <v/>
      </c>
      <c r="AC261" s="347" t="str">
        <f t="shared" si="70"/>
        <v/>
      </c>
      <c r="AD261" s="347" t="str">
        <f t="shared" si="70"/>
        <v/>
      </c>
      <c r="AE261" s="347" t="str">
        <f t="shared" si="70"/>
        <v/>
      </c>
      <c r="AF261" s="347" t="str">
        <f t="shared" si="70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6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69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B9:AF10 C99:V99 T11:V11 C101:V106 Z101:AF106 Z99:AF99 Z11:AF11">
    <cfRule type="expression" dxfId="2367" priority="665">
      <formula>B$9&gt;=20/24</formula>
    </cfRule>
    <cfRule type="expression" dxfId="2366" priority="666">
      <formula>AND(B$9&gt;=14/24,B$9&lt;20/24)</formula>
    </cfRule>
    <cfRule type="expression" dxfId="2365" priority="667">
      <formula>AND(B$9&gt;=8/24,B$9&lt;14/24)</formula>
    </cfRule>
    <cfRule type="expression" dxfId="2364" priority="668">
      <formula>B$9&lt;8/24</formula>
    </cfRule>
  </conditionalFormatting>
  <conditionalFormatting sqref="AL4:AL6">
    <cfRule type="iconSet" priority="664">
      <iconSet iconSet="3TrafficLights2" reverse="1">
        <cfvo type="percent" val="0"/>
        <cfvo type="num" val="1"/>
        <cfvo type="num" val="1"/>
      </iconSet>
    </cfRule>
  </conditionalFormatting>
  <conditionalFormatting sqref="S37:V37 Z37:AF37">
    <cfRule type="expression" dxfId="2363" priority="660">
      <formula>S$9&gt;=20/24</formula>
    </cfRule>
    <cfRule type="expression" dxfId="2362" priority="661">
      <formula>AND(S$9&gt;=14/24,S$9&lt;20/24)</formula>
    </cfRule>
    <cfRule type="expression" dxfId="2361" priority="662">
      <formula>AND(S$9&gt;=8/24,S$9&lt;14/24)</formula>
    </cfRule>
    <cfRule type="expression" dxfId="2360" priority="663">
      <formula>S$9&lt;8/24</formula>
    </cfRule>
  </conditionalFormatting>
  <conditionalFormatting sqref="AG55 B12:L16 M11:R11 M16:R16 S37:V37 B35:V35 S11:V16 Z11:AF16 Z35:AF35 Z37:AF37">
    <cfRule type="expression" dxfId="2359" priority="659">
      <formula>B11&gt;$AG11</formula>
    </cfRule>
  </conditionalFormatting>
  <conditionalFormatting sqref="A89:A99 A11:A14 A49:A76 A85:A87 A192:A222 A16:A30 A36:A47 A108:A179 A32:A33 A81:A83 A78:A79 A101:A103">
    <cfRule type="expression" dxfId="2358" priority="658">
      <formula>$AH11=0</formula>
    </cfRule>
  </conditionalFormatting>
  <conditionalFormatting sqref="A104">
    <cfRule type="expression" dxfId="2357" priority="657">
      <formula>$AH104=0</formula>
    </cfRule>
  </conditionalFormatting>
  <conditionalFormatting sqref="AL33">
    <cfRule type="iconSet" priority="656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356" priority="655">
      <formula>$AH35=0</formula>
    </cfRule>
  </conditionalFormatting>
  <conditionalFormatting sqref="A88">
    <cfRule type="expression" dxfId="2355" priority="654">
      <formula>$AH88=0</formula>
    </cfRule>
  </conditionalFormatting>
  <conditionalFormatting sqref="A15">
    <cfRule type="expression" dxfId="2354" priority="653">
      <formula>$AH15=0</formula>
    </cfRule>
  </conditionalFormatting>
  <conditionalFormatting sqref="A186:A191">
    <cfRule type="expression" dxfId="2353" priority="652">
      <formula>$AH186=0</formula>
    </cfRule>
  </conditionalFormatting>
  <conditionalFormatting sqref="A180:A185">
    <cfRule type="expression" dxfId="2352" priority="651">
      <formula>$AH180=0</formula>
    </cfRule>
  </conditionalFormatting>
  <conditionalFormatting sqref="A48">
    <cfRule type="expression" dxfId="2351" priority="650">
      <formula>$AH48=0</formula>
    </cfRule>
  </conditionalFormatting>
  <conditionalFormatting sqref="A84">
    <cfRule type="expression" dxfId="2350" priority="649">
      <formula>$AH84=0</formula>
    </cfRule>
  </conditionalFormatting>
  <conditionalFormatting sqref="C89:V89 Z89:AF89">
    <cfRule type="expression" dxfId="2349" priority="645">
      <formula>C$9&gt;=20/24</formula>
    </cfRule>
    <cfRule type="expression" dxfId="2348" priority="646">
      <formula>AND(C$9&gt;=14/24,C$9&lt;20/24)</formula>
    </cfRule>
    <cfRule type="expression" dxfId="2347" priority="647">
      <formula>AND(C$9&gt;=8/24,C$9&lt;14/24)</formula>
    </cfRule>
    <cfRule type="expression" dxfId="2346" priority="648">
      <formula>C$9&lt;8/24</formula>
    </cfRule>
  </conditionalFormatting>
  <conditionalFormatting sqref="AL34">
    <cfRule type="iconSet" priority="64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45" priority="671">
      <formula>C$9&gt;=20/24</formula>
    </cfRule>
    <cfRule type="expression" dxfId="2344" priority="672">
      <formula>AND(C$9&gt;=14/24,C$9&lt;20/24)</formula>
    </cfRule>
    <cfRule type="expression" dxfId="2343" priority="673">
      <formula>AND(C$9&gt;=8/24,C$9&lt;14/24)</formula>
    </cfRule>
    <cfRule type="expression" dxfId="2342" priority="674">
      <formula>C$9&lt;8/24</formula>
    </cfRule>
  </conditionalFormatting>
  <conditionalFormatting sqref="A223">
    <cfRule type="expression" dxfId="2341" priority="675">
      <formula>$AH223=0</formula>
    </cfRule>
  </conditionalFormatting>
  <conditionalFormatting sqref="AG235">
    <cfRule type="expression" dxfId="2340" priority="676">
      <formula>B$9&gt;=20/24</formula>
    </cfRule>
    <cfRule type="expression" dxfId="2339" priority="677">
      <formula>AND(B$9&gt;=14/24,B$9&lt;20/24)</formula>
    </cfRule>
    <cfRule type="expression" dxfId="2338" priority="678">
      <formula>AND(B$9&gt;=8/24,B$9&lt;14/24)</formula>
    </cfRule>
    <cfRule type="expression" dxfId="2337" priority="679">
      <formula>B$9&lt;8/24</formula>
    </cfRule>
  </conditionalFormatting>
  <conditionalFormatting sqref="S8">
    <cfRule type="expression" dxfId="2336" priority="640">
      <formula>U$9&gt;=20/24</formula>
    </cfRule>
    <cfRule type="expression" dxfId="2335" priority="641">
      <formula>AND(U$9&gt;=14/24,U$9&lt;20/24)</formula>
    </cfRule>
    <cfRule type="expression" dxfId="2334" priority="642">
      <formula>AND(U$9&gt;=8/24,U$9&lt;14/24)</formula>
    </cfRule>
    <cfRule type="expression" dxfId="2333" priority="643">
      <formula>U$9&lt;8/24</formula>
    </cfRule>
  </conditionalFormatting>
  <conditionalFormatting sqref="AB8">
    <cfRule type="expression" dxfId="2332" priority="636">
      <formula>AD$9&gt;=20/24</formula>
    </cfRule>
    <cfRule type="expression" dxfId="2331" priority="637">
      <formula>AND(AD$9&gt;=14/24,AD$9&lt;20/24)</formula>
    </cfRule>
    <cfRule type="expression" dxfId="2330" priority="638">
      <formula>AND(AD$9&gt;=8/24,AD$9&lt;14/24)</formula>
    </cfRule>
    <cfRule type="expression" dxfId="2329" priority="639">
      <formula>AD$9&lt;8/24</formula>
    </cfRule>
  </conditionalFormatting>
  <conditionalFormatting sqref="AH235:AX235">
    <cfRule type="expression" dxfId="2328" priority="680">
      <formula>AG$9&gt;=20/24</formula>
    </cfRule>
    <cfRule type="expression" dxfId="2327" priority="681">
      <formula>AND(AG$9&gt;=14/24,AG$9&lt;20/24)</formula>
    </cfRule>
    <cfRule type="expression" dxfId="2326" priority="682">
      <formula>AND(AG$9&gt;=8/24,AG$9&lt;14/24)</formula>
    </cfRule>
    <cfRule type="expression" dxfId="2325" priority="683">
      <formula>AG$9&lt;8/24</formula>
    </cfRule>
  </conditionalFormatting>
  <conditionalFormatting sqref="T235">
    <cfRule type="expression" dxfId="2324" priority="684">
      <formula>AX$9&gt;=20/24</formula>
    </cfRule>
    <cfRule type="expression" dxfId="2323" priority="685">
      <formula>AND(AX$9&gt;=14/24,AX$9&lt;20/24)</formula>
    </cfRule>
    <cfRule type="expression" dxfId="2322" priority="686">
      <formula>AND(AX$9&gt;=8/24,AX$9&lt;14/24)</formula>
    </cfRule>
    <cfRule type="expression" dxfId="2321" priority="687">
      <formula>AX$9&lt;8/24</formula>
    </cfRule>
  </conditionalFormatting>
  <conditionalFormatting sqref="A105:A106">
    <cfRule type="expression" dxfId="2320" priority="635">
      <formula>$AH105=0</formula>
    </cfRule>
  </conditionalFormatting>
  <conditionalFormatting sqref="E44:L45 D61:V61 S44:V45 Z61:AF61 Z36:AF36 Z44:AF45">
    <cfRule type="expression" dxfId="2319" priority="631">
      <formula>D$9&gt;=20/24</formula>
    </cfRule>
    <cfRule type="expression" dxfId="2318" priority="632">
      <formula>AND(D$9&gt;=14/24,D$9&lt;20/24)</formula>
    </cfRule>
    <cfRule type="expression" dxfId="2317" priority="633">
      <formula>AND(D$9&gt;=8/24,D$9&lt;14/24)</formula>
    </cfRule>
    <cfRule type="expression" dxfId="2316" priority="634">
      <formula>D$9&lt;8/24</formula>
    </cfRule>
  </conditionalFormatting>
  <conditionalFormatting sqref="E43:L43 S43:V43 Z43:AF43">
    <cfRule type="expression" dxfId="2315" priority="627">
      <formula>E$9&gt;=20/24</formula>
    </cfRule>
    <cfRule type="expression" dxfId="2314" priority="628">
      <formula>AND(E$9&gt;=14/24,E$9&lt;20/24)</formula>
    </cfRule>
    <cfRule type="expression" dxfId="2313" priority="629">
      <formula>AND(E$9&gt;=8/24,E$9&lt;14/24)</formula>
    </cfRule>
    <cfRule type="expression" dxfId="2312" priority="630">
      <formula>E$9&lt;8/24</formula>
    </cfRule>
  </conditionalFormatting>
  <conditionalFormatting sqref="E43:L45 S43:V45 Z36:AF36 Z43:AF45">
    <cfRule type="expression" dxfId="2311" priority="626">
      <formula>E36&gt;$AG36</formula>
    </cfRule>
  </conditionalFormatting>
  <conditionalFormatting sqref="C86:V86 C73:V76 M64:M71 D62:M63 M11:R14 M36:R37 C90:V96 M16:V16 M18:V22 M24:V26 M28:V32 S12:V14 S36:V36 E57:V59 N62:V71 Z73:AF76 Z86:AF86 Z90:AF96 Z12:AF14 Z28:AF32 Z24:AF26 Z18:AF22 Z16:AF16 Z57:AF59 Z62:AF71">
    <cfRule type="expression" dxfId="2310" priority="622">
      <formula>C$9&gt;=20/24</formula>
    </cfRule>
    <cfRule type="expression" dxfId="2309" priority="623">
      <formula>AND(C$9&gt;=14/24,C$9&lt;20/24)</formula>
    </cfRule>
    <cfRule type="expression" dxfId="2308" priority="624">
      <formula>AND(C$9&gt;=8/24,C$9&lt;14/24)</formula>
    </cfRule>
    <cfRule type="expression" dxfId="2307" priority="625">
      <formula>C$9&lt;8/24</formula>
    </cfRule>
  </conditionalFormatting>
  <conditionalFormatting sqref="M33:V33 Z33:AF33">
    <cfRule type="expression" dxfId="2306" priority="618">
      <formula>M$9&gt;=20/24</formula>
    </cfRule>
    <cfRule type="expression" dxfId="2305" priority="619">
      <formula>AND(M$9&gt;=14/24,M$9&lt;20/24)</formula>
    </cfRule>
    <cfRule type="expression" dxfId="2304" priority="620">
      <formula>AND(M$9&gt;=8/24,M$9&lt;14/24)</formula>
    </cfRule>
    <cfRule type="expression" dxfId="2303" priority="621">
      <formula>M$9&lt;8/24</formula>
    </cfRule>
  </conditionalFormatting>
  <conditionalFormatting sqref="M36 C55:V55 C37:M37 E46:L47 M11:R15 N36:R37 M18:V22 M24:V33 S36:V36 E57:V59 Z55:AF55 Z24:AF33 Z18:AF22 Z57:AF59">
    <cfRule type="expression" dxfId="2302" priority="617">
      <formula>C11&gt;$AG11</formula>
    </cfRule>
  </conditionalFormatting>
  <conditionalFormatting sqref="M35:V35 Z35:AF35">
    <cfRule type="expression" dxfId="2301" priority="613">
      <formula>M$9&gt;=20/24</formula>
    </cfRule>
    <cfRule type="expression" dxfId="2300" priority="614">
      <formula>AND(M$9&gt;=14/24,M$9&lt;20/24)</formula>
    </cfRule>
    <cfRule type="expression" dxfId="2299" priority="615">
      <formula>AND(M$9&gt;=8/24,M$9&lt;14/24)</formula>
    </cfRule>
    <cfRule type="expression" dxfId="2298" priority="616">
      <formula>M$9&lt;8/24</formula>
    </cfRule>
  </conditionalFormatting>
  <conditionalFormatting sqref="M15:V15 Z15:AF15">
    <cfRule type="expression" dxfId="2297" priority="609">
      <formula>M$9&gt;=20/24</formula>
    </cfRule>
    <cfRule type="expression" dxfId="2296" priority="610">
      <formula>AND(M$9&gt;=14/24,M$9&lt;20/24)</formula>
    </cfRule>
    <cfRule type="expression" dxfId="2295" priority="611">
      <formula>AND(M$9&gt;=8/24,M$9&lt;14/24)</formula>
    </cfRule>
    <cfRule type="expression" dxfId="2294" priority="612">
      <formula>M$9&lt;8/24</formula>
    </cfRule>
  </conditionalFormatting>
  <conditionalFormatting sqref="M34:V34 Z34:AF34">
    <cfRule type="expression" dxfId="2293" priority="605">
      <formula>M$9&gt;=20/24</formula>
    </cfRule>
    <cfRule type="expression" dxfId="2292" priority="606">
      <formula>AND(M$9&gt;=14/24,M$9&lt;20/24)</formula>
    </cfRule>
    <cfRule type="expression" dxfId="2291" priority="607">
      <formula>AND(M$9&gt;=8/24,M$9&lt;14/24)</formula>
    </cfRule>
    <cfRule type="expression" dxfId="2290" priority="608">
      <formula>M$9&lt;8/24</formula>
    </cfRule>
  </conditionalFormatting>
  <conditionalFormatting sqref="M34:V34 Z34:AF34">
    <cfRule type="expression" dxfId="2289" priority="604">
      <formula>M34&gt;$AG34</formula>
    </cfRule>
  </conditionalFormatting>
  <conditionalFormatting sqref="S11">
    <cfRule type="expression" dxfId="2288" priority="600">
      <formula>S$9&gt;=20/24</formula>
    </cfRule>
    <cfRule type="expression" dxfId="2287" priority="601">
      <formula>AND(S$9&gt;=14/24,S$9&lt;20/24)</formula>
    </cfRule>
    <cfRule type="expression" dxfId="2286" priority="602">
      <formula>AND(S$9&gt;=8/24,S$9&lt;14/24)</formula>
    </cfRule>
    <cfRule type="expression" dxfId="2285" priority="603">
      <formula>S$9&lt;8/24</formula>
    </cfRule>
  </conditionalFormatting>
  <conditionalFormatting sqref="V46 Z46:AF47">
    <cfRule type="expression" dxfId="2284" priority="596">
      <formula>V$9&gt;=20/24</formula>
    </cfRule>
    <cfRule type="expression" dxfId="2283" priority="597">
      <formula>AND(V$9&gt;=14/24,V$9&lt;20/24)</formula>
    </cfRule>
    <cfRule type="expression" dxfId="2282" priority="598">
      <formula>AND(V$9&gt;=8/24,V$9&lt;14/24)</formula>
    </cfRule>
    <cfRule type="expression" dxfId="2281" priority="599">
      <formula>V$9&lt;8/24</formula>
    </cfRule>
  </conditionalFormatting>
  <conditionalFormatting sqref="V46 Z46:AF47">
    <cfRule type="expression" dxfId="2280" priority="595">
      <formula>V46&gt;$AG46</formula>
    </cfRule>
  </conditionalFormatting>
  <conditionalFormatting sqref="M43:R54 S46:U54 V47:V54 Z48:AF54">
    <cfRule type="expression" dxfId="2279" priority="591">
      <formula>M$9&gt;=20/24</formula>
    </cfRule>
    <cfRule type="expression" dxfId="2278" priority="592">
      <formula>AND(M$9&gt;=14/24,M$9&lt;20/24)</formula>
    </cfRule>
    <cfRule type="expression" dxfId="2277" priority="593">
      <formula>AND(M$9&gt;=8/24,M$9&lt;14/24)</formula>
    </cfRule>
    <cfRule type="expression" dxfId="2276" priority="594">
      <formula>M$9&lt;8/24</formula>
    </cfRule>
  </conditionalFormatting>
  <conditionalFormatting sqref="M43:R54 S46:U54 V47:V54 Z48:AF54">
    <cfRule type="expression" dxfId="2275" priority="590">
      <formula>M43&gt;$AG43</formula>
    </cfRule>
  </conditionalFormatting>
  <conditionalFormatting sqref="M27:V27 Z27:AF27">
    <cfRule type="expression" dxfId="2274" priority="586">
      <formula>M$9&gt;=20/24</formula>
    </cfRule>
    <cfRule type="expression" dxfId="2273" priority="587">
      <formula>AND(M$9&gt;=14/24,M$9&lt;20/24)</formula>
    </cfRule>
    <cfRule type="expression" dxfId="2272" priority="588">
      <formula>AND(M$9&gt;=8/24,M$9&lt;14/24)</formula>
    </cfRule>
    <cfRule type="expression" dxfId="2271" priority="589">
      <formula>M$9&lt;8/24</formula>
    </cfRule>
  </conditionalFormatting>
  <conditionalFormatting sqref="M17:V17 M23:V23 Z23:AF23 Z17:AF17">
    <cfRule type="expression" dxfId="2270" priority="582">
      <formula>M$9&gt;=20/24</formula>
    </cfRule>
    <cfRule type="expression" dxfId="2269" priority="583">
      <formula>AND(M$9&gt;=14/24,M$9&lt;20/24)</formula>
    </cfRule>
    <cfRule type="expression" dxfId="2268" priority="584">
      <formula>AND(M$9&gt;=8/24,M$9&lt;14/24)</formula>
    </cfRule>
    <cfRule type="expression" dxfId="2267" priority="585">
      <formula>M$9&lt;8/24</formula>
    </cfRule>
  </conditionalFormatting>
  <conditionalFormatting sqref="M17:V17 M23:V23 Z23:AF23 Z17:AF17">
    <cfRule type="expression" dxfId="2266" priority="577">
      <formula>M17&gt;$AG17</formula>
    </cfRule>
  </conditionalFormatting>
  <conditionalFormatting sqref="D44:D45">
    <cfRule type="expression" dxfId="2265" priority="560">
      <formula>D$9&gt;=20/24</formula>
    </cfRule>
    <cfRule type="expression" dxfId="2264" priority="561">
      <formula>AND(D$9&gt;=14/24,D$9&lt;20/24)</formula>
    </cfRule>
    <cfRule type="expression" dxfId="2263" priority="562">
      <formula>AND(D$9&gt;=8/24,D$9&lt;14/24)</formula>
    </cfRule>
    <cfRule type="expression" dxfId="2262" priority="563">
      <formula>D$9&lt;8/24</formula>
    </cfRule>
  </conditionalFormatting>
  <conditionalFormatting sqref="D43">
    <cfRule type="expression" dxfId="2261" priority="556">
      <formula>D$9&gt;=20/24</formula>
    </cfRule>
    <cfRule type="expression" dxfId="2260" priority="557">
      <formula>AND(D$9&gt;=14/24,D$9&lt;20/24)</formula>
    </cfRule>
    <cfRule type="expression" dxfId="2259" priority="558">
      <formula>AND(D$9&gt;=8/24,D$9&lt;14/24)</formula>
    </cfRule>
    <cfRule type="expression" dxfId="2258" priority="559">
      <formula>D$9&lt;8/24</formula>
    </cfRule>
  </conditionalFormatting>
  <conditionalFormatting sqref="D43:D45">
    <cfRule type="expression" dxfId="2257" priority="555">
      <formula>D43&gt;$AG43</formula>
    </cfRule>
  </conditionalFormatting>
  <conditionalFormatting sqref="D46:D47">
    <cfRule type="expression" dxfId="2256" priority="550">
      <formula>D46&gt;$AG46</formula>
    </cfRule>
  </conditionalFormatting>
  <conditionalFormatting sqref="E48:L52 E54:L54">
    <cfRule type="expression" dxfId="2255" priority="546">
      <formula>E$9&gt;=20/24</formula>
    </cfRule>
    <cfRule type="expression" dxfId="2254" priority="547">
      <formula>AND(E$9&gt;=14/24,E$9&lt;20/24)</formula>
    </cfRule>
    <cfRule type="expression" dxfId="2253" priority="548">
      <formula>AND(E$9&gt;=8/24,E$9&lt;14/24)</formula>
    </cfRule>
    <cfRule type="expression" dxfId="2252" priority="549">
      <formula>E$9&lt;8/24</formula>
    </cfRule>
  </conditionalFormatting>
  <conditionalFormatting sqref="E48:L52 E54:L54">
    <cfRule type="expression" dxfId="2251" priority="545">
      <formula>E48&gt;$AG48</formula>
    </cfRule>
  </conditionalFormatting>
  <conditionalFormatting sqref="B99 B78:V78 B87:V87 B11:L11 B101:B106 Z87:AF87 Z78:AF78">
    <cfRule type="expression" dxfId="2250" priority="532">
      <formula>B$9&gt;=20/24</formula>
    </cfRule>
    <cfRule type="expression" dxfId="2249" priority="533">
      <formula>AND(B$9&gt;=14/24,B$9&lt;20/24)</formula>
    </cfRule>
    <cfRule type="expression" dxfId="2248" priority="534">
      <formula>AND(B$9&gt;=8/24,B$9&lt;14/24)</formula>
    </cfRule>
    <cfRule type="expression" dxfId="2247" priority="535">
      <formula>B$9&lt;8/24</formula>
    </cfRule>
  </conditionalFormatting>
  <conditionalFormatting sqref="B37">
    <cfRule type="expression" dxfId="2246" priority="528">
      <formula>B$9&gt;=20/24</formula>
    </cfRule>
    <cfRule type="expression" dxfId="2245" priority="529">
      <formula>AND(B$9&gt;=14/24,B$9&lt;20/24)</formula>
    </cfRule>
    <cfRule type="expression" dxfId="2244" priority="530">
      <formula>AND(B$9&gt;=8/24,B$9&lt;14/24)</formula>
    </cfRule>
    <cfRule type="expression" dxfId="2243" priority="531">
      <formula>B$9&lt;8/24</formula>
    </cfRule>
  </conditionalFormatting>
  <conditionalFormatting sqref="B37 B11:L11">
    <cfRule type="expression" dxfId="2242" priority="527">
      <formula>B11&gt;$AG11</formula>
    </cfRule>
  </conditionalFormatting>
  <conditionalFormatting sqref="B89">
    <cfRule type="expression" dxfId="2241" priority="523">
      <formula>B$9&gt;=20/24</formula>
    </cfRule>
    <cfRule type="expression" dxfId="2240" priority="524">
      <formula>AND(B$9&gt;=14/24,B$9&lt;20/24)</formula>
    </cfRule>
    <cfRule type="expression" dxfId="2239" priority="525">
      <formula>AND(B$9&gt;=8/24,B$9&lt;14/24)</formula>
    </cfRule>
    <cfRule type="expression" dxfId="2238" priority="526">
      <formula>B$9&lt;8/24</formula>
    </cfRule>
  </conditionalFormatting>
  <conditionalFormatting sqref="B44:C45 B61:C61 B36:L36">
    <cfRule type="expression" dxfId="2237" priority="519">
      <formula>B$9&gt;=20/24</formula>
    </cfRule>
    <cfRule type="expression" dxfId="2236" priority="520">
      <formula>AND(B$9&gt;=14/24,B$9&lt;20/24)</formula>
    </cfRule>
    <cfRule type="expression" dxfId="2235" priority="521">
      <formula>AND(B$9&gt;=8/24,B$9&lt;14/24)</formula>
    </cfRule>
    <cfRule type="expression" dxfId="2234" priority="522">
      <formula>B$9&lt;8/24</formula>
    </cfRule>
  </conditionalFormatting>
  <conditionalFormatting sqref="B43:C43">
    <cfRule type="expression" dxfId="2233" priority="515">
      <formula>B$9&gt;=20/24</formula>
    </cfRule>
    <cfRule type="expression" dxfId="2232" priority="516">
      <formula>AND(B$9&gt;=14/24,B$9&lt;20/24)</formula>
    </cfRule>
    <cfRule type="expression" dxfId="2231" priority="517">
      <formula>AND(B$9&gt;=8/24,B$9&lt;14/24)</formula>
    </cfRule>
    <cfRule type="expression" dxfId="2230" priority="518">
      <formula>B$9&lt;8/24</formula>
    </cfRule>
  </conditionalFormatting>
  <conditionalFormatting sqref="B43:C45 B36:L36">
    <cfRule type="expression" dxfId="2229" priority="514">
      <formula>B36&gt;$AG36</formula>
    </cfRule>
  </conditionalFormatting>
  <conditionalFormatting sqref="B90:B96 B57:B60 B73:B77 B79:V79 B86 C60:V60 C77:V77 B88:V88 B62:C71 C57:D59 B12:L14 B16:L16 B24:L26 B28:L32 B18:L22 D64:L71 Z88:AF88 Z77:AG77 Z60:AG60 Z79:AF79">
    <cfRule type="expression" dxfId="2228" priority="510">
      <formula>B$9&gt;=20/24</formula>
    </cfRule>
    <cfRule type="expression" dxfId="2227" priority="511">
      <formula>AND(B$9&gt;=14/24,B$9&lt;20/24)</formula>
    </cfRule>
    <cfRule type="expression" dxfId="2226" priority="512">
      <formula>AND(B$9&gt;=8/24,B$9&lt;14/24)</formula>
    </cfRule>
    <cfRule type="expression" dxfId="2225" priority="513">
      <formula>B$9&lt;8/24</formula>
    </cfRule>
  </conditionalFormatting>
  <conditionalFormatting sqref="B33:L33">
    <cfRule type="expression" dxfId="2224" priority="506">
      <formula>B$9&gt;=20/24</formula>
    </cfRule>
    <cfRule type="expression" dxfId="2223" priority="507">
      <formula>AND(B$9&gt;=14/24,B$9&lt;20/24)</formula>
    </cfRule>
    <cfRule type="expression" dxfId="2222" priority="508">
      <formula>AND(B$9&gt;=8/24,B$9&lt;14/24)</formula>
    </cfRule>
    <cfRule type="expression" dxfId="2221" priority="509">
      <formula>B$9&lt;8/24</formula>
    </cfRule>
  </conditionalFormatting>
  <conditionalFormatting sqref="B55:B60 B38:V38 C56:V56 C60:V60 B46:C47 C57:D59 B24:L33 B18:L22 Z60:AG60 Z56:AG56 Z38:AG38">
    <cfRule type="expression" dxfId="2220" priority="505">
      <formula>B18&gt;$AG18</formula>
    </cfRule>
  </conditionalFormatting>
  <conditionalFormatting sqref="B35:L35">
    <cfRule type="expression" dxfId="2219" priority="501">
      <formula>B$9&gt;=20/24</formula>
    </cfRule>
    <cfRule type="expression" dxfId="2218" priority="502">
      <formula>AND(B$9&gt;=14/24,B$9&lt;20/24)</formula>
    </cfRule>
    <cfRule type="expression" dxfId="2217" priority="503">
      <formula>AND(B$9&gt;=8/24,B$9&lt;14/24)</formula>
    </cfRule>
    <cfRule type="expression" dxfId="2216" priority="504">
      <formula>B$9&lt;8/24</formula>
    </cfRule>
  </conditionalFormatting>
  <conditionalFormatting sqref="B15:L15">
    <cfRule type="expression" dxfId="2215" priority="497">
      <formula>B$9&gt;=20/24</formula>
    </cfRule>
    <cfRule type="expression" dxfId="2214" priority="498">
      <formula>AND(B$9&gt;=14/24,B$9&lt;20/24)</formula>
    </cfRule>
    <cfRule type="expression" dxfId="2213" priority="499">
      <formula>AND(B$9&gt;=8/24,B$9&lt;14/24)</formula>
    </cfRule>
    <cfRule type="expression" dxfId="2212" priority="500">
      <formula>B$9&lt;8/24</formula>
    </cfRule>
  </conditionalFormatting>
  <conditionalFormatting sqref="B34:L34">
    <cfRule type="expression" dxfId="2211" priority="493">
      <formula>B$9&gt;=20/24</formula>
    </cfRule>
    <cfRule type="expression" dxfId="2210" priority="494">
      <formula>AND(B$9&gt;=14/24,B$9&lt;20/24)</formula>
    </cfRule>
    <cfRule type="expression" dxfId="2209" priority="495">
      <formula>AND(B$9&gt;=8/24,B$9&lt;14/24)</formula>
    </cfRule>
    <cfRule type="expression" dxfId="2208" priority="496">
      <formula>B$9&lt;8/24</formula>
    </cfRule>
  </conditionalFormatting>
  <conditionalFormatting sqref="B34:L34">
    <cfRule type="expression" dxfId="2207" priority="492">
      <formula>B34&gt;$AG34</formula>
    </cfRule>
  </conditionalFormatting>
  <conditionalFormatting sqref="B48:D52 B54:D54 B53:L53">
    <cfRule type="expression" dxfId="2206" priority="488">
      <formula>B$9&gt;=20/24</formula>
    </cfRule>
    <cfRule type="expression" dxfId="2205" priority="489">
      <formula>AND(B$9&gt;=14/24,B$9&lt;20/24)</formula>
    </cfRule>
    <cfRule type="expression" dxfId="2204" priority="490">
      <formula>AND(B$9&gt;=8/24,B$9&lt;14/24)</formula>
    </cfRule>
    <cfRule type="expression" dxfId="2203" priority="491">
      <formula>B$9&lt;8/24</formula>
    </cfRule>
  </conditionalFormatting>
  <conditionalFormatting sqref="B48:D52 B54:D54 B53:L53">
    <cfRule type="expression" dxfId="2202" priority="487">
      <formula>B48&gt;$AG48</formula>
    </cfRule>
  </conditionalFormatting>
  <conditionalFormatting sqref="B27:L27">
    <cfRule type="expression" dxfId="2201" priority="483">
      <formula>B$9&gt;=20/24</formula>
    </cfRule>
    <cfRule type="expression" dxfId="2200" priority="484">
      <formula>AND(B$9&gt;=14/24,B$9&lt;20/24)</formula>
    </cfRule>
    <cfRule type="expression" dxfId="2199" priority="485">
      <formula>AND(B$9&gt;=8/24,B$9&lt;14/24)</formula>
    </cfRule>
    <cfRule type="expression" dxfId="2198" priority="486">
      <formula>B$9&lt;8/24</formula>
    </cfRule>
  </conditionalFormatting>
  <conditionalFormatting sqref="B17:L17 B23:L23">
    <cfRule type="expression" dxfId="2197" priority="479">
      <formula>B$9&gt;=20/24</formula>
    </cfRule>
    <cfRule type="expression" dxfId="2196" priority="480">
      <formula>AND(B$9&gt;=14/24,B$9&lt;20/24)</formula>
    </cfRule>
    <cfRule type="expression" dxfId="2195" priority="481">
      <formula>AND(B$9&gt;=8/24,B$9&lt;14/24)</formula>
    </cfRule>
    <cfRule type="expression" dxfId="2194" priority="482">
      <formula>B$9&lt;8/24</formula>
    </cfRule>
  </conditionalFormatting>
  <conditionalFormatting sqref="B17:L17 B23:L23">
    <cfRule type="expression" dxfId="2193" priority="478">
      <formula>B17&gt;$AG17</formula>
    </cfRule>
  </conditionalFormatting>
  <conditionalFormatting sqref="A34">
    <cfRule type="expression" dxfId="2192" priority="477">
      <formula>$AH34=0</formula>
    </cfRule>
  </conditionalFormatting>
  <conditionalFormatting sqref="B72:V72 Z72:AF72">
    <cfRule type="expression" dxfId="2191" priority="473">
      <formula>B$9&gt;=20/24</formula>
    </cfRule>
    <cfRule type="expression" dxfId="2190" priority="474">
      <formula>AND(B$9&gt;=14/24,B$9&lt;20/24)</formula>
    </cfRule>
    <cfRule type="expression" dxfId="2189" priority="475">
      <formula>AND(B$9&gt;=8/24,B$9&lt;14/24)</formula>
    </cfRule>
    <cfRule type="expression" dxfId="2188" priority="476">
      <formula>B$9&lt;8/24</formula>
    </cfRule>
  </conditionalFormatting>
  <conditionalFormatting sqref="B81:V85 Z81:AF85">
    <cfRule type="expression" dxfId="2187" priority="469">
      <formula>B$9&gt;=20/24</formula>
    </cfRule>
    <cfRule type="expression" dxfId="2186" priority="470">
      <formula>AND(B$9&gt;=14/24,B$9&lt;20/24)</formula>
    </cfRule>
    <cfRule type="expression" dxfId="2185" priority="471">
      <formula>AND(B$9&gt;=8/24,B$9&lt;14/24)</formula>
    </cfRule>
    <cfRule type="expression" dxfId="2184" priority="472">
      <formula>B$9&lt;8/24</formula>
    </cfRule>
  </conditionalFormatting>
  <conditionalFormatting sqref="AL35 AL7:AL30 AL32">
    <cfRule type="iconSet" priority="688">
      <iconSet iconSet="3TrafficLights2" reverse="1">
        <cfvo type="percent" val="0"/>
        <cfvo type="num" val="1"/>
        <cfvo type="num" val="1"/>
      </iconSet>
    </cfRule>
  </conditionalFormatting>
  <conditionalFormatting sqref="M39:V41 Z39:AF41">
    <cfRule type="expression" dxfId="2183" priority="465">
      <formula>M$9&gt;=20/24</formula>
    </cfRule>
    <cfRule type="expression" dxfId="2182" priority="466">
      <formula>AND(M$9&gt;=14/24,M$9&lt;20/24)</formula>
    </cfRule>
    <cfRule type="expression" dxfId="2181" priority="467">
      <formula>AND(M$9&gt;=8/24,M$9&lt;14/24)</formula>
    </cfRule>
    <cfRule type="expression" dxfId="2180" priority="468">
      <formula>M$9&lt;8/24</formula>
    </cfRule>
  </conditionalFormatting>
  <conditionalFormatting sqref="M39:V41 Z39:AF41">
    <cfRule type="expression" dxfId="2179" priority="464">
      <formula>M39&gt;$AG39</formula>
    </cfRule>
  </conditionalFormatting>
  <conditionalFormatting sqref="B39:B42 C42:V42 C39:L41 Z42:AG42">
    <cfRule type="expression" dxfId="2178" priority="460">
      <formula>B$9&gt;=20/24</formula>
    </cfRule>
    <cfRule type="expression" dxfId="2177" priority="461">
      <formula>AND(B$9&gt;=14/24,B$9&lt;20/24)</formula>
    </cfRule>
    <cfRule type="expression" dxfId="2176" priority="462">
      <formula>AND(B$9&gt;=8/24,B$9&lt;14/24)</formula>
    </cfRule>
    <cfRule type="expression" dxfId="2175" priority="463">
      <formula>B$9&lt;8/24</formula>
    </cfRule>
  </conditionalFormatting>
  <conditionalFormatting sqref="B39:B42 C42:V42 C39:L41 Z42:AG42">
    <cfRule type="expression" dxfId="2174" priority="459">
      <formula>B39&gt;$AG39</formula>
    </cfRule>
  </conditionalFormatting>
  <conditionalFormatting sqref="C97:V97 Z97:AF97">
    <cfRule type="expression" dxfId="2173" priority="455">
      <formula>C$9&gt;=20/24</formula>
    </cfRule>
    <cfRule type="expression" dxfId="2172" priority="456">
      <formula>AND(C$9&gt;=14/24,C$9&lt;20/24)</formula>
    </cfRule>
    <cfRule type="expression" dxfId="2171" priority="457">
      <formula>AND(C$9&gt;=8/24,C$9&lt;14/24)</formula>
    </cfRule>
    <cfRule type="expression" dxfId="2170" priority="458">
      <formula>C$9&lt;8/24</formula>
    </cfRule>
  </conditionalFormatting>
  <conditionalFormatting sqref="B97">
    <cfRule type="expression" dxfId="2169" priority="451">
      <formula>B$9&gt;=20/24</formula>
    </cfRule>
    <cfRule type="expression" dxfId="2168" priority="452">
      <formula>AND(B$9&gt;=14/24,B$9&lt;20/24)</formula>
    </cfRule>
    <cfRule type="expression" dxfId="2167" priority="453">
      <formula>AND(B$9&gt;=8/24,B$9&lt;14/24)</formula>
    </cfRule>
    <cfRule type="expression" dxfId="2166" priority="454">
      <formula>B$9&lt;8/24</formula>
    </cfRule>
  </conditionalFormatting>
  <conditionalFormatting sqref="AL31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165" priority="445">
      <formula>$AH31=0</formula>
    </cfRule>
  </conditionalFormatting>
  <conditionalFormatting sqref="A80">
    <cfRule type="expression" dxfId="2164" priority="443">
      <formula>$AH80=0</formula>
    </cfRule>
  </conditionalFormatting>
  <conditionalFormatting sqref="A77">
    <cfRule type="expression" dxfId="2163" priority="444">
      <formula>$AH77=0</formula>
    </cfRule>
  </conditionalFormatting>
  <conditionalFormatting sqref="A107">
    <cfRule type="expression" dxfId="2162" priority="434">
      <formula>$AH107=0</formula>
    </cfRule>
  </conditionalFormatting>
  <conditionalFormatting sqref="C100:V100 Z100:AF100">
    <cfRule type="expression" dxfId="2161" priority="430">
      <formula>C$9&gt;=20/24</formula>
    </cfRule>
    <cfRule type="expression" dxfId="2160" priority="431">
      <formula>AND(C$9&gt;=14/24,C$9&lt;20/24)</formula>
    </cfRule>
    <cfRule type="expression" dxfId="2159" priority="432">
      <formula>AND(C$9&gt;=8/24,C$9&lt;14/24)</formula>
    </cfRule>
    <cfRule type="expression" dxfId="2158" priority="433">
      <formula>C$9&lt;8/24</formula>
    </cfRule>
  </conditionalFormatting>
  <conditionalFormatting sqref="A100">
    <cfRule type="expression" dxfId="2157" priority="429">
      <formula>$AH100=0</formula>
    </cfRule>
  </conditionalFormatting>
  <conditionalFormatting sqref="B100">
    <cfRule type="expression" dxfId="2156" priority="425">
      <formula>B$9&gt;=20/24</formula>
    </cfRule>
    <cfRule type="expression" dxfId="2155" priority="426">
      <formula>AND(B$9&gt;=14/24,B$9&lt;20/24)</formula>
    </cfRule>
    <cfRule type="expression" dxfId="2154" priority="427">
      <formula>AND(B$9&gt;=8/24,B$9&lt;14/24)</formula>
    </cfRule>
    <cfRule type="expression" dxfId="2153" priority="428">
      <formula>B$9&lt;8/24</formula>
    </cfRule>
  </conditionalFormatting>
  <conditionalFormatting sqref="W99 W11 W101:W106">
    <cfRule type="expression" dxfId="2152" priority="421">
      <formula>W$9&gt;=20/24</formula>
    </cfRule>
    <cfRule type="expression" dxfId="2151" priority="422">
      <formula>AND(W$9&gt;=14/24,W$9&lt;20/24)</formula>
    </cfRule>
    <cfRule type="expression" dxfId="2150" priority="423">
      <formula>AND(W$9&gt;=8/24,W$9&lt;14/24)</formula>
    </cfRule>
    <cfRule type="expression" dxfId="2149" priority="424">
      <formula>W$9&lt;8/24</formula>
    </cfRule>
  </conditionalFormatting>
  <conditionalFormatting sqref="W37">
    <cfRule type="expression" dxfId="2148" priority="417">
      <formula>W$9&gt;=20/24</formula>
    </cfRule>
    <cfRule type="expression" dxfId="2147" priority="418">
      <formula>AND(W$9&gt;=14/24,W$9&lt;20/24)</formula>
    </cfRule>
    <cfRule type="expression" dxfId="2146" priority="419">
      <formula>AND(W$9&gt;=8/24,W$9&lt;14/24)</formula>
    </cfRule>
    <cfRule type="expression" dxfId="2145" priority="420">
      <formula>W$9&lt;8/24</formula>
    </cfRule>
  </conditionalFormatting>
  <conditionalFormatting sqref="W37 W35 W11:W16">
    <cfRule type="expression" dxfId="2144" priority="416">
      <formula>W11&gt;$AG11</formula>
    </cfRule>
  </conditionalFormatting>
  <conditionalFormatting sqref="W89">
    <cfRule type="expression" dxfId="2143" priority="412">
      <formula>W$9&gt;=20/24</formula>
    </cfRule>
    <cfRule type="expression" dxfId="2142" priority="413">
      <formula>AND(W$9&gt;=14/24,W$9&lt;20/24)</formula>
    </cfRule>
    <cfRule type="expression" dxfId="2141" priority="414">
      <formula>AND(W$9&gt;=8/24,W$9&lt;14/24)</formula>
    </cfRule>
    <cfRule type="expression" dxfId="2140" priority="415">
      <formula>W$9&lt;8/24</formula>
    </cfRule>
  </conditionalFormatting>
  <conditionalFormatting sqref="W61 W44:W45">
    <cfRule type="expression" dxfId="2139" priority="408">
      <formula>W$9&gt;=20/24</formula>
    </cfRule>
    <cfRule type="expression" dxfId="2138" priority="409">
      <formula>AND(W$9&gt;=14/24,W$9&lt;20/24)</formula>
    </cfRule>
    <cfRule type="expression" dxfId="2137" priority="410">
      <formula>AND(W$9&gt;=8/24,W$9&lt;14/24)</formula>
    </cfRule>
    <cfRule type="expression" dxfId="2136" priority="411">
      <formula>W$9&lt;8/24</formula>
    </cfRule>
  </conditionalFormatting>
  <conditionalFormatting sqref="W43">
    <cfRule type="expression" dxfId="2135" priority="404">
      <formula>W$9&gt;=20/24</formula>
    </cfRule>
    <cfRule type="expression" dxfId="2134" priority="405">
      <formula>AND(W$9&gt;=14/24,W$9&lt;20/24)</formula>
    </cfRule>
    <cfRule type="expression" dxfId="2133" priority="406">
      <formula>AND(W$9&gt;=8/24,W$9&lt;14/24)</formula>
    </cfRule>
    <cfRule type="expression" dxfId="2132" priority="407">
      <formula>W$9&lt;8/24</formula>
    </cfRule>
  </conditionalFormatting>
  <conditionalFormatting sqref="W43:W45">
    <cfRule type="expression" dxfId="2131" priority="403">
      <formula>W43&gt;$AG43</formula>
    </cfRule>
  </conditionalFormatting>
  <conditionalFormatting sqref="W86 W73:W76 W90:W96 W16 W18:W22 W24:W26 W28:W32 W12:W14 W36 W57:W59 W62:W71">
    <cfRule type="expression" dxfId="2130" priority="399">
      <formula>W$9&gt;=20/24</formula>
    </cfRule>
    <cfRule type="expression" dxfId="2129" priority="400">
      <formula>AND(W$9&gt;=14/24,W$9&lt;20/24)</formula>
    </cfRule>
    <cfRule type="expression" dxfId="2128" priority="401">
      <formula>AND(W$9&gt;=8/24,W$9&lt;14/24)</formula>
    </cfRule>
    <cfRule type="expression" dxfId="2127" priority="402">
      <formula>W$9&lt;8/24</formula>
    </cfRule>
  </conditionalFormatting>
  <conditionalFormatting sqref="W33">
    <cfRule type="expression" dxfId="2126" priority="395">
      <formula>W$9&gt;=20/24</formula>
    </cfRule>
    <cfRule type="expression" dxfId="2125" priority="396">
      <formula>AND(W$9&gt;=14/24,W$9&lt;20/24)</formula>
    </cfRule>
    <cfRule type="expression" dxfId="2124" priority="397">
      <formula>AND(W$9&gt;=8/24,W$9&lt;14/24)</formula>
    </cfRule>
    <cfRule type="expression" dxfId="2123" priority="398">
      <formula>W$9&lt;8/24</formula>
    </cfRule>
  </conditionalFormatting>
  <conditionalFormatting sqref="W55 W18:W22 W24:W33 W36 W57:W59">
    <cfRule type="expression" dxfId="2122" priority="394">
      <formula>W18&gt;$AG18</formula>
    </cfRule>
  </conditionalFormatting>
  <conditionalFormatting sqref="W35">
    <cfRule type="expression" dxfId="2121" priority="390">
      <formula>W$9&gt;=20/24</formula>
    </cfRule>
    <cfRule type="expression" dxfId="2120" priority="391">
      <formula>AND(W$9&gt;=14/24,W$9&lt;20/24)</formula>
    </cfRule>
    <cfRule type="expression" dxfId="2119" priority="392">
      <formula>AND(W$9&gt;=8/24,W$9&lt;14/24)</formula>
    </cfRule>
    <cfRule type="expression" dxfId="2118" priority="393">
      <formula>W$9&lt;8/24</formula>
    </cfRule>
  </conditionalFormatting>
  <conditionalFormatting sqref="W15">
    <cfRule type="expression" dxfId="2117" priority="386">
      <formula>W$9&gt;=20/24</formula>
    </cfRule>
    <cfRule type="expression" dxfId="2116" priority="387">
      <formula>AND(W$9&gt;=14/24,W$9&lt;20/24)</formula>
    </cfRule>
    <cfRule type="expression" dxfId="2115" priority="388">
      <formula>AND(W$9&gt;=8/24,W$9&lt;14/24)</formula>
    </cfRule>
    <cfRule type="expression" dxfId="2114" priority="389">
      <formula>W$9&lt;8/24</formula>
    </cfRule>
  </conditionalFormatting>
  <conditionalFormatting sqref="W34">
    <cfRule type="expression" dxfId="2113" priority="382">
      <formula>W$9&gt;=20/24</formula>
    </cfRule>
    <cfRule type="expression" dxfId="2112" priority="383">
      <formula>AND(W$9&gt;=14/24,W$9&lt;20/24)</formula>
    </cfRule>
    <cfRule type="expression" dxfId="2111" priority="384">
      <formula>AND(W$9&gt;=8/24,W$9&lt;14/24)</formula>
    </cfRule>
    <cfRule type="expression" dxfId="2110" priority="385">
      <formula>W$9&lt;8/24</formula>
    </cfRule>
  </conditionalFormatting>
  <conditionalFormatting sqref="W34">
    <cfRule type="expression" dxfId="2109" priority="381">
      <formula>W34&gt;$AG34</formula>
    </cfRule>
  </conditionalFormatting>
  <conditionalFormatting sqref="W46">
    <cfRule type="expression" dxfId="2108" priority="377">
      <formula>W$9&gt;=20/24</formula>
    </cfRule>
    <cfRule type="expression" dxfId="2107" priority="378">
      <formula>AND(W$9&gt;=14/24,W$9&lt;20/24)</formula>
    </cfRule>
    <cfRule type="expression" dxfId="2106" priority="379">
      <formula>AND(W$9&gt;=8/24,W$9&lt;14/24)</formula>
    </cfRule>
    <cfRule type="expression" dxfId="2105" priority="380">
      <formula>W$9&lt;8/24</formula>
    </cfRule>
  </conditionalFormatting>
  <conditionalFormatting sqref="W46">
    <cfRule type="expression" dxfId="2104" priority="376">
      <formula>W46&gt;$AG46</formula>
    </cfRule>
  </conditionalFormatting>
  <conditionalFormatting sqref="W47:W54">
    <cfRule type="expression" dxfId="2103" priority="372">
      <formula>W$9&gt;=20/24</formula>
    </cfRule>
    <cfRule type="expression" dxfId="2102" priority="373">
      <formula>AND(W$9&gt;=14/24,W$9&lt;20/24)</formula>
    </cfRule>
    <cfRule type="expression" dxfId="2101" priority="374">
      <formula>AND(W$9&gt;=8/24,W$9&lt;14/24)</formula>
    </cfRule>
    <cfRule type="expression" dxfId="2100" priority="375">
      <formula>W$9&lt;8/24</formula>
    </cfRule>
  </conditionalFormatting>
  <conditionalFormatting sqref="W47:W54">
    <cfRule type="expression" dxfId="2099" priority="371">
      <formula>W47&gt;$AG47</formula>
    </cfRule>
  </conditionalFormatting>
  <conditionalFormatting sqref="W27">
    <cfRule type="expression" dxfId="2098" priority="367">
      <formula>W$9&gt;=20/24</formula>
    </cfRule>
    <cfRule type="expression" dxfId="2097" priority="368">
      <formula>AND(W$9&gt;=14/24,W$9&lt;20/24)</formula>
    </cfRule>
    <cfRule type="expression" dxfId="2096" priority="369">
      <formula>AND(W$9&gt;=8/24,W$9&lt;14/24)</formula>
    </cfRule>
    <cfRule type="expression" dxfId="2095" priority="370">
      <formula>W$9&lt;8/24</formula>
    </cfRule>
  </conditionalFormatting>
  <conditionalFormatting sqref="W17 W23">
    <cfRule type="expression" dxfId="2094" priority="363">
      <formula>W$9&gt;=20/24</formula>
    </cfRule>
    <cfRule type="expression" dxfId="2093" priority="364">
      <formula>AND(W$9&gt;=14/24,W$9&lt;20/24)</formula>
    </cfRule>
    <cfRule type="expression" dxfId="2092" priority="365">
      <formula>AND(W$9&gt;=8/24,W$9&lt;14/24)</formula>
    </cfRule>
    <cfRule type="expression" dxfId="2091" priority="366">
      <formula>W$9&lt;8/24</formula>
    </cfRule>
  </conditionalFormatting>
  <conditionalFormatting sqref="W17 W23">
    <cfRule type="expression" dxfId="2090" priority="362">
      <formula>W17&gt;$AG17</formula>
    </cfRule>
  </conditionalFormatting>
  <conditionalFormatting sqref="W78 W87">
    <cfRule type="expression" dxfId="2089" priority="358">
      <formula>W$9&gt;=20/24</formula>
    </cfRule>
    <cfRule type="expression" dxfId="2088" priority="359">
      <formula>AND(W$9&gt;=14/24,W$9&lt;20/24)</formula>
    </cfRule>
    <cfRule type="expression" dxfId="2087" priority="360">
      <formula>AND(W$9&gt;=8/24,W$9&lt;14/24)</formula>
    </cfRule>
    <cfRule type="expression" dxfId="2086" priority="361">
      <formula>W$9&lt;8/24</formula>
    </cfRule>
  </conditionalFormatting>
  <conditionalFormatting sqref="W79 W60 W77 W88">
    <cfRule type="expression" dxfId="2085" priority="354">
      <formula>W$9&gt;=20/24</formula>
    </cfRule>
    <cfRule type="expression" dxfId="2084" priority="355">
      <formula>AND(W$9&gt;=14/24,W$9&lt;20/24)</formula>
    </cfRule>
    <cfRule type="expression" dxfId="2083" priority="356">
      <formula>AND(W$9&gt;=8/24,W$9&lt;14/24)</formula>
    </cfRule>
    <cfRule type="expression" dxfId="2082" priority="357">
      <formula>W$9&lt;8/24</formula>
    </cfRule>
  </conditionalFormatting>
  <conditionalFormatting sqref="W38 W56 W60">
    <cfRule type="expression" dxfId="2081" priority="353">
      <formula>W38&gt;$AG38</formula>
    </cfRule>
  </conditionalFormatting>
  <conditionalFormatting sqref="W72">
    <cfRule type="expression" dxfId="2080" priority="349">
      <formula>W$9&gt;=20/24</formula>
    </cfRule>
    <cfRule type="expression" dxfId="2079" priority="350">
      <formula>AND(W$9&gt;=14/24,W$9&lt;20/24)</formula>
    </cfRule>
    <cfRule type="expression" dxfId="2078" priority="351">
      <formula>AND(W$9&gt;=8/24,W$9&lt;14/24)</formula>
    </cfRule>
    <cfRule type="expression" dxfId="2077" priority="352">
      <formula>W$9&lt;8/24</formula>
    </cfRule>
  </conditionalFormatting>
  <conditionalFormatting sqref="W81:W85">
    <cfRule type="expression" dxfId="2076" priority="345">
      <formula>W$9&gt;=20/24</formula>
    </cfRule>
    <cfRule type="expression" dxfId="2075" priority="346">
      <formula>AND(W$9&gt;=14/24,W$9&lt;20/24)</formula>
    </cfRule>
    <cfRule type="expression" dxfId="2074" priority="347">
      <formula>AND(W$9&gt;=8/24,W$9&lt;14/24)</formula>
    </cfRule>
    <cfRule type="expression" dxfId="2073" priority="348">
      <formula>W$9&lt;8/24</formula>
    </cfRule>
  </conditionalFormatting>
  <conditionalFormatting sqref="W39:W41">
    <cfRule type="expression" dxfId="2072" priority="341">
      <formula>W$9&gt;=20/24</formula>
    </cfRule>
    <cfRule type="expression" dxfId="2071" priority="342">
      <formula>AND(W$9&gt;=14/24,W$9&lt;20/24)</formula>
    </cfRule>
    <cfRule type="expression" dxfId="2070" priority="343">
      <formula>AND(W$9&gt;=8/24,W$9&lt;14/24)</formula>
    </cfRule>
    <cfRule type="expression" dxfId="2069" priority="344">
      <formula>W$9&lt;8/24</formula>
    </cfRule>
  </conditionalFormatting>
  <conditionalFormatting sqref="W39:W41">
    <cfRule type="expression" dxfId="2068" priority="340">
      <formula>W39&gt;$AG39</formula>
    </cfRule>
  </conditionalFormatting>
  <conditionalFormatting sqref="W42">
    <cfRule type="expression" dxfId="2067" priority="336">
      <formula>W$9&gt;=20/24</formula>
    </cfRule>
    <cfRule type="expression" dxfId="2066" priority="337">
      <formula>AND(W$9&gt;=14/24,W$9&lt;20/24)</formula>
    </cfRule>
    <cfRule type="expression" dxfId="2065" priority="338">
      <formula>AND(W$9&gt;=8/24,W$9&lt;14/24)</formula>
    </cfRule>
    <cfRule type="expression" dxfId="2064" priority="339">
      <formula>W$9&lt;8/24</formula>
    </cfRule>
  </conditionalFormatting>
  <conditionalFormatting sqref="W42">
    <cfRule type="expression" dxfId="2063" priority="335">
      <formula>W42&gt;$AG42</formula>
    </cfRule>
  </conditionalFormatting>
  <conditionalFormatting sqref="W97">
    <cfRule type="expression" dxfId="2062" priority="331">
      <formula>W$9&gt;=20/24</formula>
    </cfRule>
    <cfRule type="expression" dxfId="2061" priority="332">
      <formula>AND(W$9&gt;=14/24,W$9&lt;20/24)</formula>
    </cfRule>
    <cfRule type="expression" dxfId="2060" priority="333">
      <formula>AND(W$9&gt;=8/24,W$9&lt;14/24)</formula>
    </cfRule>
    <cfRule type="expression" dxfId="2059" priority="334">
      <formula>W$9&lt;8/24</formula>
    </cfRule>
  </conditionalFormatting>
  <conditionalFormatting sqref="W100">
    <cfRule type="expression" dxfId="2058" priority="319">
      <formula>W$9&gt;=20/24</formula>
    </cfRule>
    <cfRule type="expression" dxfId="2057" priority="320">
      <formula>AND(W$9&gt;=14/24,W$9&lt;20/24)</formula>
    </cfRule>
    <cfRule type="expression" dxfId="2056" priority="321">
      <formula>AND(W$9&gt;=8/24,W$9&lt;14/24)</formula>
    </cfRule>
    <cfRule type="expression" dxfId="2055" priority="322">
      <formula>W$9&lt;8/24</formula>
    </cfRule>
  </conditionalFormatting>
  <conditionalFormatting sqref="X99 X11 X101:X106">
    <cfRule type="expression" dxfId="2054" priority="315">
      <formula>X$9&gt;=20/24</formula>
    </cfRule>
    <cfRule type="expression" dxfId="2053" priority="316">
      <formula>AND(X$9&gt;=14/24,X$9&lt;20/24)</formula>
    </cfRule>
    <cfRule type="expression" dxfId="2052" priority="317">
      <formula>AND(X$9&gt;=8/24,X$9&lt;14/24)</formula>
    </cfRule>
    <cfRule type="expression" dxfId="2051" priority="318">
      <formula>X$9&lt;8/24</formula>
    </cfRule>
  </conditionalFormatting>
  <conditionalFormatting sqref="X37">
    <cfRule type="expression" dxfId="2050" priority="311">
      <formula>X$9&gt;=20/24</formula>
    </cfRule>
    <cfRule type="expression" dxfId="2049" priority="312">
      <formula>AND(X$9&gt;=14/24,X$9&lt;20/24)</formula>
    </cfRule>
    <cfRule type="expression" dxfId="2048" priority="313">
      <formula>AND(X$9&gt;=8/24,X$9&lt;14/24)</formula>
    </cfRule>
    <cfRule type="expression" dxfId="2047" priority="314">
      <formula>X$9&lt;8/24</formula>
    </cfRule>
  </conditionalFormatting>
  <conditionalFormatting sqref="X37 X35 X11:X16">
    <cfRule type="expression" dxfId="2046" priority="310">
      <formula>X11&gt;$AG11</formula>
    </cfRule>
  </conditionalFormatting>
  <conditionalFormatting sqref="X89">
    <cfRule type="expression" dxfId="2045" priority="306">
      <formula>X$9&gt;=20/24</formula>
    </cfRule>
    <cfRule type="expression" dxfId="2044" priority="307">
      <formula>AND(X$9&gt;=14/24,X$9&lt;20/24)</formula>
    </cfRule>
    <cfRule type="expression" dxfId="2043" priority="308">
      <formula>AND(X$9&gt;=8/24,X$9&lt;14/24)</formula>
    </cfRule>
    <cfRule type="expression" dxfId="2042" priority="309">
      <formula>X$9&lt;8/24</formula>
    </cfRule>
  </conditionalFormatting>
  <conditionalFormatting sqref="X61 X44:X45">
    <cfRule type="expression" dxfId="2041" priority="302">
      <formula>X$9&gt;=20/24</formula>
    </cfRule>
    <cfRule type="expression" dxfId="2040" priority="303">
      <formula>AND(X$9&gt;=14/24,X$9&lt;20/24)</formula>
    </cfRule>
    <cfRule type="expression" dxfId="2039" priority="304">
      <formula>AND(X$9&gt;=8/24,X$9&lt;14/24)</formula>
    </cfRule>
    <cfRule type="expression" dxfId="2038" priority="305">
      <formula>X$9&lt;8/24</formula>
    </cfRule>
  </conditionalFormatting>
  <conditionalFormatting sqref="X43">
    <cfRule type="expression" dxfId="2037" priority="298">
      <formula>X$9&gt;=20/24</formula>
    </cfRule>
    <cfRule type="expression" dxfId="2036" priority="299">
      <formula>AND(X$9&gt;=14/24,X$9&lt;20/24)</formula>
    </cfRule>
    <cfRule type="expression" dxfId="2035" priority="300">
      <formula>AND(X$9&gt;=8/24,X$9&lt;14/24)</formula>
    </cfRule>
    <cfRule type="expression" dxfId="2034" priority="301">
      <formula>X$9&lt;8/24</formula>
    </cfRule>
  </conditionalFormatting>
  <conditionalFormatting sqref="X43:X45">
    <cfRule type="expression" dxfId="2033" priority="297">
      <formula>X43&gt;$AG43</formula>
    </cfRule>
  </conditionalFormatting>
  <conditionalFormatting sqref="X86 X73:X76 X90:X96 X16 X18:X22 X24:X26 X28:X32 X12:X14 X36 X57:X59 X62:X71">
    <cfRule type="expression" dxfId="2032" priority="293">
      <formula>X$9&gt;=20/24</formula>
    </cfRule>
    <cfRule type="expression" dxfId="2031" priority="294">
      <formula>AND(X$9&gt;=14/24,X$9&lt;20/24)</formula>
    </cfRule>
    <cfRule type="expression" dxfId="2030" priority="295">
      <formula>AND(X$9&gt;=8/24,X$9&lt;14/24)</formula>
    </cfRule>
    <cfRule type="expression" dxfId="2029" priority="296">
      <formula>X$9&lt;8/24</formula>
    </cfRule>
  </conditionalFormatting>
  <conditionalFormatting sqref="X33">
    <cfRule type="expression" dxfId="2028" priority="289">
      <formula>X$9&gt;=20/24</formula>
    </cfRule>
    <cfRule type="expression" dxfId="2027" priority="290">
      <formula>AND(X$9&gt;=14/24,X$9&lt;20/24)</formula>
    </cfRule>
    <cfRule type="expression" dxfId="2026" priority="291">
      <formula>AND(X$9&gt;=8/24,X$9&lt;14/24)</formula>
    </cfRule>
    <cfRule type="expression" dxfId="2025" priority="292">
      <formula>X$9&lt;8/24</formula>
    </cfRule>
  </conditionalFormatting>
  <conditionalFormatting sqref="X55 X18:X22 X24:X33 X36 X57:X59">
    <cfRule type="expression" dxfId="2024" priority="288">
      <formula>X18&gt;$AG18</formula>
    </cfRule>
  </conditionalFormatting>
  <conditionalFormatting sqref="X35">
    <cfRule type="expression" dxfId="2023" priority="284">
      <formula>X$9&gt;=20/24</formula>
    </cfRule>
    <cfRule type="expression" dxfId="2022" priority="285">
      <formula>AND(X$9&gt;=14/24,X$9&lt;20/24)</formula>
    </cfRule>
    <cfRule type="expression" dxfId="2021" priority="286">
      <formula>AND(X$9&gt;=8/24,X$9&lt;14/24)</formula>
    </cfRule>
    <cfRule type="expression" dxfId="2020" priority="287">
      <formula>X$9&lt;8/24</formula>
    </cfRule>
  </conditionalFormatting>
  <conditionalFormatting sqref="X15">
    <cfRule type="expression" dxfId="2019" priority="280">
      <formula>X$9&gt;=20/24</formula>
    </cfRule>
    <cfRule type="expression" dxfId="2018" priority="281">
      <formula>AND(X$9&gt;=14/24,X$9&lt;20/24)</formula>
    </cfRule>
    <cfRule type="expression" dxfId="2017" priority="282">
      <formula>AND(X$9&gt;=8/24,X$9&lt;14/24)</formula>
    </cfRule>
    <cfRule type="expression" dxfId="2016" priority="283">
      <formula>X$9&lt;8/24</formula>
    </cfRule>
  </conditionalFormatting>
  <conditionalFormatting sqref="X34">
    <cfRule type="expression" dxfId="2015" priority="276">
      <formula>X$9&gt;=20/24</formula>
    </cfRule>
    <cfRule type="expression" dxfId="2014" priority="277">
      <formula>AND(X$9&gt;=14/24,X$9&lt;20/24)</formula>
    </cfRule>
    <cfRule type="expression" dxfId="2013" priority="278">
      <formula>AND(X$9&gt;=8/24,X$9&lt;14/24)</formula>
    </cfRule>
    <cfRule type="expression" dxfId="2012" priority="279">
      <formula>X$9&lt;8/24</formula>
    </cfRule>
  </conditionalFormatting>
  <conditionalFormatting sqref="X34">
    <cfRule type="expression" dxfId="2011" priority="275">
      <formula>X34&gt;$AG34</formula>
    </cfRule>
  </conditionalFormatting>
  <conditionalFormatting sqref="X46">
    <cfRule type="expression" dxfId="2010" priority="271">
      <formula>X$9&gt;=20/24</formula>
    </cfRule>
    <cfRule type="expression" dxfId="2009" priority="272">
      <formula>AND(X$9&gt;=14/24,X$9&lt;20/24)</formula>
    </cfRule>
    <cfRule type="expression" dxfId="2008" priority="273">
      <formula>AND(X$9&gt;=8/24,X$9&lt;14/24)</formula>
    </cfRule>
    <cfRule type="expression" dxfId="2007" priority="274">
      <formula>X$9&lt;8/24</formula>
    </cfRule>
  </conditionalFormatting>
  <conditionalFormatting sqref="X46">
    <cfRule type="expression" dxfId="2006" priority="270">
      <formula>X46&gt;$AG46</formula>
    </cfRule>
  </conditionalFormatting>
  <conditionalFormatting sqref="X47:X54">
    <cfRule type="expression" dxfId="2005" priority="266">
      <formula>X$9&gt;=20/24</formula>
    </cfRule>
    <cfRule type="expression" dxfId="2004" priority="267">
      <formula>AND(X$9&gt;=14/24,X$9&lt;20/24)</formula>
    </cfRule>
    <cfRule type="expression" dxfId="2003" priority="268">
      <formula>AND(X$9&gt;=8/24,X$9&lt;14/24)</formula>
    </cfRule>
    <cfRule type="expression" dxfId="2002" priority="269">
      <formula>X$9&lt;8/24</formula>
    </cfRule>
  </conditionalFormatting>
  <conditionalFormatting sqref="X47:X54">
    <cfRule type="expression" dxfId="2001" priority="265">
      <formula>X47&gt;$AG47</formula>
    </cfRule>
  </conditionalFormatting>
  <conditionalFormatting sqref="X27">
    <cfRule type="expression" dxfId="2000" priority="261">
      <formula>X$9&gt;=20/24</formula>
    </cfRule>
    <cfRule type="expression" dxfId="1999" priority="262">
      <formula>AND(X$9&gt;=14/24,X$9&lt;20/24)</formula>
    </cfRule>
    <cfRule type="expression" dxfId="1998" priority="263">
      <formula>AND(X$9&gt;=8/24,X$9&lt;14/24)</formula>
    </cfRule>
    <cfRule type="expression" dxfId="1997" priority="264">
      <formula>X$9&lt;8/24</formula>
    </cfRule>
  </conditionalFormatting>
  <conditionalFormatting sqref="X17 X23">
    <cfRule type="expression" dxfId="1996" priority="257">
      <formula>X$9&gt;=20/24</formula>
    </cfRule>
    <cfRule type="expression" dxfId="1995" priority="258">
      <formula>AND(X$9&gt;=14/24,X$9&lt;20/24)</formula>
    </cfRule>
    <cfRule type="expression" dxfId="1994" priority="259">
      <formula>AND(X$9&gt;=8/24,X$9&lt;14/24)</formula>
    </cfRule>
    <cfRule type="expression" dxfId="1993" priority="260">
      <formula>X$9&lt;8/24</formula>
    </cfRule>
  </conditionalFormatting>
  <conditionalFormatting sqref="X17 X23">
    <cfRule type="expression" dxfId="1992" priority="256">
      <formula>X17&gt;$AG17</formula>
    </cfRule>
  </conditionalFormatting>
  <conditionalFormatting sqref="X78 X87">
    <cfRule type="expression" dxfId="1991" priority="252">
      <formula>X$9&gt;=20/24</formula>
    </cfRule>
    <cfRule type="expression" dxfId="1990" priority="253">
      <formula>AND(X$9&gt;=14/24,X$9&lt;20/24)</formula>
    </cfRule>
    <cfRule type="expression" dxfId="1989" priority="254">
      <formula>AND(X$9&gt;=8/24,X$9&lt;14/24)</formula>
    </cfRule>
    <cfRule type="expression" dxfId="1988" priority="255">
      <formula>X$9&lt;8/24</formula>
    </cfRule>
  </conditionalFormatting>
  <conditionalFormatting sqref="X79 X60 X77 X88">
    <cfRule type="expression" dxfId="1987" priority="248">
      <formula>X$9&gt;=20/24</formula>
    </cfRule>
    <cfRule type="expression" dxfId="1986" priority="249">
      <formula>AND(X$9&gt;=14/24,X$9&lt;20/24)</formula>
    </cfRule>
    <cfRule type="expression" dxfId="1985" priority="250">
      <formula>AND(X$9&gt;=8/24,X$9&lt;14/24)</formula>
    </cfRule>
    <cfRule type="expression" dxfId="1984" priority="251">
      <formula>X$9&lt;8/24</formula>
    </cfRule>
  </conditionalFormatting>
  <conditionalFormatting sqref="X38 X56 X60">
    <cfRule type="expression" dxfId="1983" priority="247">
      <formula>X38&gt;$AG38</formula>
    </cfRule>
  </conditionalFormatting>
  <conditionalFormatting sqref="X72">
    <cfRule type="expression" dxfId="1982" priority="243">
      <formula>X$9&gt;=20/24</formula>
    </cfRule>
    <cfRule type="expression" dxfId="1981" priority="244">
      <formula>AND(X$9&gt;=14/24,X$9&lt;20/24)</formula>
    </cfRule>
    <cfRule type="expression" dxfId="1980" priority="245">
      <formula>AND(X$9&gt;=8/24,X$9&lt;14/24)</formula>
    </cfRule>
    <cfRule type="expression" dxfId="1979" priority="246">
      <formula>X$9&lt;8/24</formula>
    </cfRule>
  </conditionalFormatting>
  <conditionalFormatting sqref="X81:X85">
    <cfRule type="expression" dxfId="1978" priority="239">
      <formula>X$9&gt;=20/24</formula>
    </cfRule>
    <cfRule type="expression" dxfId="1977" priority="240">
      <formula>AND(X$9&gt;=14/24,X$9&lt;20/24)</formula>
    </cfRule>
    <cfRule type="expression" dxfId="1976" priority="241">
      <formula>AND(X$9&gt;=8/24,X$9&lt;14/24)</formula>
    </cfRule>
    <cfRule type="expression" dxfId="1975" priority="242">
      <formula>X$9&lt;8/24</formula>
    </cfRule>
  </conditionalFormatting>
  <conditionalFormatting sqref="X39:X41">
    <cfRule type="expression" dxfId="1974" priority="235">
      <formula>X$9&gt;=20/24</formula>
    </cfRule>
    <cfRule type="expression" dxfId="1973" priority="236">
      <formula>AND(X$9&gt;=14/24,X$9&lt;20/24)</formula>
    </cfRule>
    <cfRule type="expression" dxfId="1972" priority="237">
      <formula>AND(X$9&gt;=8/24,X$9&lt;14/24)</formula>
    </cfRule>
    <cfRule type="expression" dxfId="1971" priority="238">
      <formula>X$9&lt;8/24</formula>
    </cfRule>
  </conditionalFormatting>
  <conditionalFormatting sqref="X39:X41">
    <cfRule type="expression" dxfId="1970" priority="234">
      <formula>X39&gt;$AG39</formula>
    </cfRule>
  </conditionalFormatting>
  <conditionalFormatting sqref="X42">
    <cfRule type="expression" dxfId="1969" priority="230">
      <formula>X$9&gt;=20/24</formula>
    </cfRule>
    <cfRule type="expression" dxfId="1968" priority="231">
      <formula>AND(X$9&gt;=14/24,X$9&lt;20/24)</formula>
    </cfRule>
    <cfRule type="expression" dxfId="1967" priority="232">
      <formula>AND(X$9&gt;=8/24,X$9&lt;14/24)</formula>
    </cfRule>
    <cfRule type="expression" dxfId="1966" priority="233">
      <formula>X$9&lt;8/24</formula>
    </cfRule>
  </conditionalFormatting>
  <conditionalFormatting sqref="X42">
    <cfRule type="expression" dxfId="1965" priority="229">
      <formula>X42&gt;$AG42</formula>
    </cfRule>
  </conditionalFormatting>
  <conditionalFormatting sqref="X97">
    <cfRule type="expression" dxfId="1964" priority="225">
      <formula>X$9&gt;=20/24</formula>
    </cfRule>
    <cfRule type="expression" dxfId="1963" priority="226">
      <formula>AND(X$9&gt;=14/24,X$9&lt;20/24)</formula>
    </cfRule>
    <cfRule type="expression" dxfId="1962" priority="227">
      <formula>AND(X$9&gt;=8/24,X$9&lt;14/24)</formula>
    </cfRule>
    <cfRule type="expression" dxfId="1961" priority="228">
      <formula>X$9&lt;8/24</formula>
    </cfRule>
  </conditionalFormatting>
  <conditionalFormatting sqref="X100">
    <cfRule type="expression" dxfId="1960" priority="213">
      <formula>X$9&gt;=20/24</formula>
    </cfRule>
    <cfRule type="expression" dxfId="1959" priority="214">
      <formula>AND(X$9&gt;=14/24,X$9&lt;20/24)</formula>
    </cfRule>
    <cfRule type="expression" dxfId="1958" priority="215">
      <formula>AND(X$9&gt;=8/24,X$9&lt;14/24)</formula>
    </cfRule>
    <cfRule type="expression" dxfId="1957" priority="216">
      <formula>X$9&lt;8/24</formula>
    </cfRule>
  </conditionalFormatting>
  <conditionalFormatting sqref="Y99 Y11 Y101:Y106">
    <cfRule type="expression" dxfId="1956" priority="103">
      <formula>Y$9&gt;=20/24</formula>
    </cfRule>
    <cfRule type="expression" dxfId="1955" priority="104">
      <formula>AND(Y$9&gt;=14/24,Y$9&lt;20/24)</formula>
    </cfRule>
    <cfRule type="expression" dxfId="1954" priority="105">
      <formula>AND(Y$9&gt;=8/24,Y$9&lt;14/24)</formula>
    </cfRule>
    <cfRule type="expression" dxfId="1953" priority="106">
      <formula>Y$9&lt;8/24</formula>
    </cfRule>
  </conditionalFormatting>
  <conditionalFormatting sqref="Y37">
    <cfRule type="expression" dxfId="1952" priority="99">
      <formula>Y$9&gt;=20/24</formula>
    </cfRule>
    <cfRule type="expression" dxfId="1951" priority="100">
      <formula>AND(Y$9&gt;=14/24,Y$9&lt;20/24)</formula>
    </cfRule>
    <cfRule type="expression" dxfId="1950" priority="101">
      <formula>AND(Y$9&gt;=8/24,Y$9&lt;14/24)</formula>
    </cfRule>
    <cfRule type="expression" dxfId="1949" priority="102">
      <formula>Y$9&lt;8/24</formula>
    </cfRule>
  </conditionalFormatting>
  <conditionalFormatting sqref="Y37 Y35 Y11:Y16">
    <cfRule type="expression" dxfId="1948" priority="98">
      <formula>Y11&gt;$AG11</formula>
    </cfRule>
  </conditionalFormatting>
  <conditionalFormatting sqref="Y89">
    <cfRule type="expression" dxfId="1947" priority="94">
      <formula>Y$9&gt;=20/24</formula>
    </cfRule>
    <cfRule type="expression" dxfId="1946" priority="95">
      <formula>AND(Y$9&gt;=14/24,Y$9&lt;20/24)</formula>
    </cfRule>
    <cfRule type="expression" dxfId="1945" priority="96">
      <formula>AND(Y$9&gt;=8/24,Y$9&lt;14/24)</formula>
    </cfRule>
    <cfRule type="expression" dxfId="1944" priority="97">
      <formula>Y$9&lt;8/24</formula>
    </cfRule>
  </conditionalFormatting>
  <conditionalFormatting sqref="Y61 Y44:Y45">
    <cfRule type="expression" dxfId="1943" priority="90">
      <formula>Y$9&gt;=20/24</formula>
    </cfRule>
    <cfRule type="expression" dxfId="1942" priority="91">
      <formula>AND(Y$9&gt;=14/24,Y$9&lt;20/24)</formula>
    </cfRule>
    <cfRule type="expression" dxfId="1941" priority="92">
      <formula>AND(Y$9&gt;=8/24,Y$9&lt;14/24)</formula>
    </cfRule>
    <cfRule type="expression" dxfId="1940" priority="93">
      <formula>Y$9&lt;8/24</formula>
    </cfRule>
  </conditionalFormatting>
  <conditionalFormatting sqref="Y43">
    <cfRule type="expression" dxfId="1939" priority="86">
      <formula>Y$9&gt;=20/24</formula>
    </cfRule>
    <cfRule type="expression" dxfId="1938" priority="87">
      <formula>AND(Y$9&gt;=14/24,Y$9&lt;20/24)</formula>
    </cfRule>
    <cfRule type="expression" dxfId="1937" priority="88">
      <formula>AND(Y$9&gt;=8/24,Y$9&lt;14/24)</formula>
    </cfRule>
    <cfRule type="expression" dxfId="1936" priority="89">
      <formula>Y$9&lt;8/24</formula>
    </cfRule>
  </conditionalFormatting>
  <conditionalFormatting sqref="Y43:Y45">
    <cfRule type="expression" dxfId="1935" priority="85">
      <formula>Y43&gt;$AG43</formula>
    </cfRule>
  </conditionalFormatting>
  <conditionalFormatting sqref="Y86 Y73:Y76 Y90:Y96 Y16 Y18:Y22 Y24:Y26 Y28:Y32 Y12:Y14 Y36 Y57:Y59 Y62:Y71">
    <cfRule type="expression" dxfId="1934" priority="81">
      <formula>Y$9&gt;=20/24</formula>
    </cfRule>
    <cfRule type="expression" dxfId="1933" priority="82">
      <formula>AND(Y$9&gt;=14/24,Y$9&lt;20/24)</formula>
    </cfRule>
    <cfRule type="expression" dxfId="1932" priority="83">
      <formula>AND(Y$9&gt;=8/24,Y$9&lt;14/24)</formula>
    </cfRule>
    <cfRule type="expression" dxfId="1931" priority="84">
      <formula>Y$9&lt;8/24</formula>
    </cfRule>
  </conditionalFormatting>
  <conditionalFormatting sqref="Y33">
    <cfRule type="expression" dxfId="1930" priority="77">
      <formula>Y$9&gt;=20/24</formula>
    </cfRule>
    <cfRule type="expression" dxfId="1929" priority="78">
      <formula>AND(Y$9&gt;=14/24,Y$9&lt;20/24)</formula>
    </cfRule>
    <cfRule type="expression" dxfId="1928" priority="79">
      <formula>AND(Y$9&gt;=8/24,Y$9&lt;14/24)</formula>
    </cfRule>
    <cfRule type="expression" dxfId="1927" priority="80">
      <formula>Y$9&lt;8/24</formula>
    </cfRule>
  </conditionalFormatting>
  <conditionalFormatting sqref="Y55 Y18:Y22 Y24:Y33 Y36 Y57:Y59">
    <cfRule type="expression" dxfId="1926" priority="76">
      <formula>Y18&gt;$AG18</formula>
    </cfRule>
  </conditionalFormatting>
  <conditionalFormatting sqref="Y35">
    <cfRule type="expression" dxfId="1925" priority="72">
      <formula>Y$9&gt;=20/24</formula>
    </cfRule>
    <cfRule type="expression" dxfId="1924" priority="73">
      <formula>AND(Y$9&gt;=14/24,Y$9&lt;20/24)</formula>
    </cfRule>
    <cfRule type="expression" dxfId="1923" priority="74">
      <formula>AND(Y$9&gt;=8/24,Y$9&lt;14/24)</formula>
    </cfRule>
    <cfRule type="expression" dxfId="1922" priority="75">
      <formula>Y$9&lt;8/24</formula>
    </cfRule>
  </conditionalFormatting>
  <conditionalFormatting sqref="Y15">
    <cfRule type="expression" dxfId="1921" priority="68">
      <formula>Y$9&gt;=20/24</formula>
    </cfRule>
    <cfRule type="expression" dxfId="1920" priority="69">
      <formula>AND(Y$9&gt;=14/24,Y$9&lt;20/24)</formula>
    </cfRule>
    <cfRule type="expression" dxfId="1919" priority="70">
      <formula>AND(Y$9&gt;=8/24,Y$9&lt;14/24)</formula>
    </cfRule>
    <cfRule type="expression" dxfId="1918" priority="71">
      <formula>Y$9&lt;8/24</formula>
    </cfRule>
  </conditionalFormatting>
  <conditionalFormatting sqref="Y34">
    <cfRule type="expression" dxfId="1917" priority="64">
      <formula>Y$9&gt;=20/24</formula>
    </cfRule>
    <cfRule type="expression" dxfId="1916" priority="65">
      <formula>AND(Y$9&gt;=14/24,Y$9&lt;20/24)</formula>
    </cfRule>
    <cfRule type="expression" dxfId="1915" priority="66">
      <formula>AND(Y$9&gt;=8/24,Y$9&lt;14/24)</formula>
    </cfRule>
    <cfRule type="expression" dxfId="1914" priority="67">
      <formula>Y$9&lt;8/24</formula>
    </cfRule>
  </conditionalFormatting>
  <conditionalFormatting sqref="Y34">
    <cfRule type="expression" dxfId="1913" priority="63">
      <formula>Y34&gt;$AG34</formula>
    </cfRule>
  </conditionalFormatting>
  <conditionalFormatting sqref="Y46">
    <cfRule type="expression" dxfId="1912" priority="59">
      <formula>Y$9&gt;=20/24</formula>
    </cfRule>
    <cfRule type="expression" dxfId="1911" priority="60">
      <formula>AND(Y$9&gt;=14/24,Y$9&lt;20/24)</formula>
    </cfRule>
    <cfRule type="expression" dxfId="1910" priority="61">
      <formula>AND(Y$9&gt;=8/24,Y$9&lt;14/24)</formula>
    </cfRule>
    <cfRule type="expression" dxfId="1909" priority="62">
      <formula>Y$9&lt;8/24</formula>
    </cfRule>
  </conditionalFormatting>
  <conditionalFormatting sqref="Y46">
    <cfRule type="expression" dxfId="1908" priority="58">
      <formula>Y46&gt;$AG46</formula>
    </cfRule>
  </conditionalFormatting>
  <conditionalFormatting sqref="Y47:Y54">
    <cfRule type="expression" dxfId="1907" priority="54">
      <formula>Y$9&gt;=20/24</formula>
    </cfRule>
    <cfRule type="expression" dxfId="1906" priority="55">
      <formula>AND(Y$9&gt;=14/24,Y$9&lt;20/24)</formula>
    </cfRule>
    <cfRule type="expression" dxfId="1905" priority="56">
      <formula>AND(Y$9&gt;=8/24,Y$9&lt;14/24)</formula>
    </cfRule>
    <cfRule type="expression" dxfId="1904" priority="57">
      <formula>Y$9&lt;8/24</formula>
    </cfRule>
  </conditionalFormatting>
  <conditionalFormatting sqref="Y47:Y54">
    <cfRule type="expression" dxfId="1903" priority="53">
      <formula>Y47&gt;$AG47</formula>
    </cfRule>
  </conditionalFormatting>
  <conditionalFormatting sqref="Y27">
    <cfRule type="expression" dxfId="1902" priority="49">
      <formula>Y$9&gt;=20/24</formula>
    </cfRule>
    <cfRule type="expression" dxfId="1901" priority="50">
      <formula>AND(Y$9&gt;=14/24,Y$9&lt;20/24)</formula>
    </cfRule>
    <cfRule type="expression" dxfId="1900" priority="51">
      <formula>AND(Y$9&gt;=8/24,Y$9&lt;14/24)</formula>
    </cfRule>
    <cfRule type="expression" dxfId="1899" priority="52">
      <formula>Y$9&lt;8/24</formula>
    </cfRule>
  </conditionalFormatting>
  <conditionalFormatting sqref="Y17 Y23">
    <cfRule type="expression" dxfId="1898" priority="45">
      <formula>Y$9&gt;=20/24</formula>
    </cfRule>
    <cfRule type="expression" dxfId="1897" priority="46">
      <formula>AND(Y$9&gt;=14/24,Y$9&lt;20/24)</formula>
    </cfRule>
    <cfRule type="expression" dxfId="1896" priority="47">
      <formula>AND(Y$9&gt;=8/24,Y$9&lt;14/24)</formula>
    </cfRule>
    <cfRule type="expression" dxfId="1895" priority="48">
      <formula>Y$9&lt;8/24</formula>
    </cfRule>
  </conditionalFormatting>
  <conditionalFormatting sqref="Y17 Y23">
    <cfRule type="expression" dxfId="1894" priority="44">
      <formula>Y17&gt;$AG17</formula>
    </cfRule>
  </conditionalFormatting>
  <conditionalFormatting sqref="Y78 Y87">
    <cfRule type="expression" dxfId="1893" priority="40">
      <formula>Y$9&gt;=20/24</formula>
    </cfRule>
    <cfRule type="expression" dxfId="1892" priority="41">
      <formula>AND(Y$9&gt;=14/24,Y$9&lt;20/24)</formula>
    </cfRule>
    <cfRule type="expression" dxfId="1891" priority="42">
      <formula>AND(Y$9&gt;=8/24,Y$9&lt;14/24)</formula>
    </cfRule>
    <cfRule type="expression" dxfId="1890" priority="43">
      <formula>Y$9&lt;8/24</formula>
    </cfRule>
  </conditionalFormatting>
  <conditionalFormatting sqref="Y79 Y60 Y77 Y88">
    <cfRule type="expression" dxfId="1889" priority="36">
      <formula>Y$9&gt;=20/24</formula>
    </cfRule>
    <cfRule type="expression" dxfId="1888" priority="37">
      <formula>AND(Y$9&gt;=14/24,Y$9&lt;20/24)</formula>
    </cfRule>
    <cfRule type="expression" dxfId="1887" priority="38">
      <formula>AND(Y$9&gt;=8/24,Y$9&lt;14/24)</formula>
    </cfRule>
    <cfRule type="expression" dxfId="1886" priority="39">
      <formula>Y$9&lt;8/24</formula>
    </cfRule>
  </conditionalFormatting>
  <conditionalFormatting sqref="Y38 Y56 Y60">
    <cfRule type="expression" dxfId="1885" priority="35">
      <formula>Y38&gt;$AG38</formula>
    </cfRule>
  </conditionalFormatting>
  <conditionalFormatting sqref="Y72">
    <cfRule type="expression" dxfId="1884" priority="31">
      <formula>Y$9&gt;=20/24</formula>
    </cfRule>
    <cfRule type="expression" dxfId="1883" priority="32">
      <formula>AND(Y$9&gt;=14/24,Y$9&lt;20/24)</formula>
    </cfRule>
    <cfRule type="expression" dxfId="1882" priority="33">
      <formula>AND(Y$9&gt;=8/24,Y$9&lt;14/24)</formula>
    </cfRule>
    <cfRule type="expression" dxfId="1881" priority="34">
      <formula>Y$9&lt;8/24</formula>
    </cfRule>
  </conditionalFormatting>
  <conditionalFormatting sqref="Y81:Y85">
    <cfRule type="expression" dxfId="1880" priority="27">
      <formula>Y$9&gt;=20/24</formula>
    </cfRule>
    <cfRule type="expression" dxfId="1879" priority="28">
      <formula>AND(Y$9&gt;=14/24,Y$9&lt;20/24)</formula>
    </cfRule>
    <cfRule type="expression" dxfId="1878" priority="29">
      <formula>AND(Y$9&gt;=8/24,Y$9&lt;14/24)</formula>
    </cfRule>
    <cfRule type="expression" dxfId="1877" priority="30">
      <formula>Y$9&lt;8/24</formula>
    </cfRule>
  </conditionalFormatting>
  <conditionalFormatting sqref="Y39:Y41">
    <cfRule type="expression" dxfId="1876" priority="23">
      <formula>Y$9&gt;=20/24</formula>
    </cfRule>
    <cfRule type="expression" dxfId="1875" priority="24">
      <formula>AND(Y$9&gt;=14/24,Y$9&lt;20/24)</formula>
    </cfRule>
    <cfRule type="expression" dxfId="1874" priority="25">
      <formula>AND(Y$9&gt;=8/24,Y$9&lt;14/24)</formula>
    </cfRule>
    <cfRule type="expression" dxfId="1873" priority="26">
      <formula>Y$9&lt;8/24</formula>
    </cfRule>
  </conditionalFormatting>
  <conditionalFormatting sqref="Y39:Y41">
    <cfRule type="expression" dxfId="1872" priority="22">
      <formula>Y39&gt;$AG39</formula>
    </cfRule>
  </conditionalFormatting>
  <conditionalFormatting sqref="Y42">
    <cfRule type="expression" dxfId="1871" priority="18">
      <formula>Y$9&gt;=20/24</formula>
    </cfRule>
    <cfRule type="expression" dxfId="1870" priority="19">
      <formula>AND(Y$9&gt;=14/24,Y$9&lt;20/24)</formula>
    </cfRule>
    <cfRule type="expression" dxfId="1869" priority="20">
      <formula>AND(Y$9&gt;=8/24,Y$9&lt;14/24)</formula>
    </cfRule>
    <cfRule type="expression" dxfId="1868" priority="21">
      <formula>Y$9&lt;8/24</formula>
    </cfRule>
  </conditionalFormatting>
  <conditionalFormatting sqref="Y42">
    <cfRule type="expression" dxfId="1867" priority="17">
      <formula>Y42&gt;$AG42</formula>
    </cfRule>
  </conditionalFormatting>
  <conditionalFormatting sqref="Y97">
    <cfRule type="expression" dxfId="1866" priority="13">
      <formula>Y$9&gt;=20/24</formula>
    </cfRule>
    <cfRule type="expression" dxfId="1865" priority="14">
      <formula>AND(Y$9&gt;=14/24,Y$9&lt;20/24)</formula>
    </cfRule>
    <cfRule type="expression" dxfId="1864" priority="15">
      <formula>AND(Y$9&gt;=8/24,Y$9&lt;14/24)</formula>
    </cfRule>
    <cfRule type="expression" dxfId="1863" priority="16">
      <formula>Y$9&lt;8/24</formula>
    </cfRule>
  </conditionalFormatting>
  <conditionalFormatting sqref="Y100">
    <cfRule type="expression" dxfId="1862" priority="1">
      <formula>Y$9&gt;=20/24</formula>
    </cfRule>
    <cfRule type="expression" dxfId="1861" priority="2">
      <formula>AND(Y$9&gt;=14/24,Y$9&lt;20/24)</formula>
    </cfRule>
    <cfRule type="expression" dxfId="1860" priority="3">
      <formula>AND(Y$9&gt;=8/24,Y$9&lt;14/24)</formula>
    </cfRule>
    <cfRule type="expression" dxfId="1859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6" id="{CA143FF6-5148-4A81-9FCD-2B4B7B703AF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7" id="{4C6A56AE-D45F-4F3F-AC7B-899374A4461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8" id="{2C49C466-5F3A-499D-B1E0-72839E4D088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9" id="{DB107284-43D9-43CB-B951-143034D768A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B80:V80 Z80:AF80</xm:sqref>
        </x14:conditionalFormatting>
        <x14:conditionalFormatting xmlns:xm="http://schemas.microsoft.com/office/excel/2006/main">
          <x14:cfRule type="expression" priority="439" id="{AD8A400D-B43A-4EBB-8F24-2EB7BA78BEE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0" id="{B0C219C5-E861-46F8-B54C-1E4AC4ACD1B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1" id="{4D2F6D7E-96B3-452F-956F-E40F0434580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2" id="{122421E0-91B7-4008-B53F-5D8683FA624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C107:V107 Z107:AF107</xm:sqref>
        </x14:conditionalFormatting>
        <x14:conditionalFormatting xmlns:xm="http://schemas.microsoft.com/office/excel/2006/main">
          <x14:cfRule type="expression" priority="435" id="{BBFC826D-91D9-4873-A795-D25E7736F19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6" id="{D5EEED71-C66C-4AA3-A991-E05CAB74450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7" id="{C727F0A5-0332-4DDF-92C2-1863014FB87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8" id="{30CCEB45-4AA2-4E42-AF35-C88741BBC70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  <x14:conditionalFormatting xmlns:xm="http://schemas.microsoft.com/office/excel/2006/main">
          <x14:cfRule type="expression" priority="327" id="{0EB5E704-5094-4B79-9820-90CA78B3547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28" id="{13E0461E-08F4-47E4-8C04-B50B16CCDD8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9" id="{28234E70-F5F6-49D9-9494-1C5D272B184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0" id="{5A56DEA4-E8A9-4E52-B034-69E51CD2DF6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W80</xm:sqref>
        </x14:conditionalFormatting>
        <x14:conditionalFormatting xmlns:xm="http://schemas.microsoft.com/office/excel/2006/main">
          <x14:cfRule type="expression" priority="323" id="{6C041C64-AD16-4BFE-AD7D-29BD901676E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24" id="{7E3CA038-3CBC-49A7-8FE0-6DC8A1D659E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5" id="{CA2C629F-42A2-4EDB-B22A-D2F8081C66C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6" id="{8BFD8E05-2EEB-49ED-9270-D133C3BEC81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W107</xm:sqref>
        </x14:conditionalFormatting>
        <x14:conditionalFormatting xmlns:xm="http://schemas.microsoft.com/office/excel/2006/main">
          <x14:cfRule type="expression" priority="221" id="{64179BF5-4CA4-4984-93A9-E99C6857528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2" id="{3BC7E05C-33A8-4585-A468-42A5E8E5069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3" id="{07C81EE9-EB67-4CCB-BE36-916E7FBC42C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4" id="{BD388A43-10B3-4BC7-85DB-406A56A7C18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X80</xm:sqref>
        </x14:conditionalFormatting>
        <x14:conditionalFormatting xmlns:xm="http://schemas.microsoft.com/office/excel/2006/main">
          <x14:cfRule type="expression" priority="217" id="{AC5E4A3E-AE2A-4113-BF00-FA655A94F36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8" id="{C0CE06CB-45AF-4BCD-BABB-5B9889FBE9A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9" id="{FD86DD0D-4E65-4507-97D1-A336F24C4E1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0" id="{AD1F74E4-7CAA-4089-B671-4AEEA34B930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X107</xm:sqref>
        </x14:conditionalFormatting>
        <x14:conditionalFormatting xmlns:xm="http://schemas.microsoft.com/office/excel/2006/main">
          <x14:cfRule type="expression" priority="9" id="{96C944AA-B34F-4EED-86D7-F32A05994BF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CF377B3A-0C41-453F-9468-2923C2B8DD2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8021A44C-E766-4A2B-B18B-E9F4908F699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A37E66A8-8E4F-4ED9-99BB-2D10A525A11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Y80</xm:sqref>
        </x14:conditionalFormatting>
        <x14:conditionalFormatting xmlns:xm="http://schemas.microsoft.com/office/excel/2006/main">
          <x14:cfRule type="expression" priority="5" id="{81515E32-C1F9-4ED7-B4DD-FCDE269370F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DFEA336C-0566-4927-821D-2F160153C16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DD0A6268-AB6A-4104-9633-E2E86537670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F1FA296B-1B32-4E24-A41E-7A7140A7D64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Y107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CJ494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5" width="6.42578125" style="176" bestFit="1" customWidth="1"/>
    <col min="6" max="6" width="8.28515625" style="176" bestFit="1" customWidth="1"/>
    <col min="7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"2079/"&amp;"02/"&amp;INT(MID(CELL("filename",D6),FIND("]",CELL("filename",D6))+1,200))</f>
        <v>2079/02/27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40</v>
      </c>
      <c r="C5" s="205">
        <f t="shared" si="0"/>
        <v>22</v>
      </c>
      <c r="D5" s="205">
        <f t="shared" si="0"/>
        <v>34</v>
      </c>
      <c r="E5" s="205">
        <f t="shared" si="0"/>
        <v>15</v>
      </c>
      <c r="F5" s="205">
        <f t="shared" si="0"/>
        <v>24</v>
      </c>
      <c r="G5" s="205">
        <f t="shared" si="0"/>
        <v>19</v>
      </c>
      <c r="H5" s="205">
        <f t="shared" si="0"/>
        <v>5</v>
      </c>
      <c r="I5" s="205">
        <f t="shared" si="0"/>
        <v>5</v>
      </c>
      <c r="J5" s="205">
        <f t="shared" si="0"/>
        <v>5</v>
      </c>
      <c r="K5" s="205">
        <f t="shared" si="0"/>
        <v>5</v>
      </c>
      <c r="L5" s="205">
        <f t="shared" si="0"/>
        <v>5</v>
      </c>
      <c r="M5" s="205">
        <f t="shared" si="0"/>
        <v>5</v>
      </c>
      <c r="N5" s="205">
        <f t="shared" si="0"/>
        <v>5</v>
      </c>
      <c r="O5" s="205">
        <f t="shared" si="0"/>
        <v>5</v>
      </c>
      <c r="P5" s="205">
        <f t="shared" si="0"/>
        <v>5</v>
      </c>
      <c r="Q5" s="205">
        <f t="shared" si="0"/>
        <v>13.6</v>
      </c>
      <c r="R5" s="205">
        <f t="shared" si="0"/>
        <v>22.7</v>
      </c>
      <c r="S5" s="205">
        <f t="shared" si="0"/>
        <v>21.4</v>
      </c>
      <c r="T5" s="205">
        <f t="shared" si="0"/>
        <v>8</v>
      </c>
      <c r="U5" s="205">
        <f t="shared" si="0"/>
        <v>5</v>
      </c>
      <c r="V5" s="205">
        <f t="shared" si="0"/>
        <v>5</v>
      </c>
      <c r="W5" s="205">
        <f t="shared" si="0"/>
        <v>12.9</v>
      </c>
      <c r="X5" s="205">
        <f t="shared" si="0"/>
        <v>20.7</v>
      </c>
      <c r="Y5" s="205">
        <f t="shared" si="0"/>
        <v>34.1</v>
      </c>
      <c r="Z5" s="205">
        <f t="shared" si="0"/>
        <v>27</v>
      </c>
      <c r="AA5" s="205">
        <f t="shared" si="0"/>
        <v>36.200000000000003</v>
      </c>
      <c r="AB5" s="205">
        <f t="shared" si="0"/>
        <v>44.7</v>
      </c>
      <c r="AC5" s="205">
        <f t="shared" si="0"/>
        <v>45</v>
      </c>
      <c r="AD5" s="205">
        <f t="shared" si="0"/>
        <v>30.8</v>
      </c>
      <c r="AE5" s="205">
        <f t="shared" si="0"/>
        <v>16</v>
      </c>
      <c r="AF5" s="205">
        <f>B72</f>
        <v>43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1828MW at 7:30hr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Load=1706</v>
      </c>
      <c r="B7" s="210">
        <f>B79</f>
        <v>1817.6399999999999</v>
      </c>
      <c r="C7" s="210">
        <f t="shared" ref="C7:AF7" si="1">C79</f>
        <v>1814.6399999999999</v>
      </c>
      <c r="D7" s="210">
        <f t="shared" si="1"/>
        <v>1791.6399999999999</v>
      </c>
      <c r="E7" s="210">
        <f t="shared" si="1"/>
        <v>1803.6399999999999</v>
      </c>
      <c r="F7" s="210">
        <f t="shared" si="1"/>
        <v>1784.6399999999999</v>
      </c>
      <c r="G7" s="210">
        <f t="shared" si="1"/>
        <v>1790.04</v>
      </c>
      <c r="H7" s="210">
        <f t="shared" si="1"/>
        <v>1796.24</v>
      </c>
      <c r="I7" s="210">
        <f t="shared" si="1"/>
        <v>1706.24</v>
      </c>
      <c r="J7" s="210">
        <f t="shared" si="1"/>
        <v>1799.24</v>
      </c>
      <c r="K7" s="210">
        <f t="shared" si="1"/>
        <v>1804.24</v>
      </c>
      <c r="L7" s="210">
        <f t="shared" si="1"/>
        <v>1827.84</v>
      </c>
      <c r="M7" s="210">
        <f t="shared" si="1"/>
        <v>1819.54</v>
      </c>
      <c r="N7" s="210">
        <f t="shared" si="1"/>
        <v>1817.54</v>
      </c>
      <c r="O7" s="210">
        <f t="shared" si="1"/>
        <v>1813.54</v>
      </c>
      <c r="P7" s="210">
        <f t="shared" si="1"/>
        <v>1812.6399999999999</v>
      </c>
      <c r="Q7" s="210">
        <f t="shared" si="1"/>
        <v>1814.74</v>
      </c>
      <c r="R7" s="210">
        <f t="shared" si="1"/>
        <v>1824.2399999999998</v>
      </c>
      <c r="S7" s="210">
        <f t="shared" si="1"/>
        <v>1812.94</v>
      </c>
      <c r="T7" s="210">
        <f t="shared" si="1"/>
        <v>1815.6400000000003</v>
      </c>
      <c r="U7" s="210">
        <f t="shared" si="1"/>
        <v>1801.94</v>
      </c>
      <c r="V7" s="210">
        <f t="shared" si="1"/>
        <v>1766.54</v>
      </c>
      <c r="W7" s="210">
        <f t="shared" si="1"/>
        <v>1756.54</v>
      </c>
      <c r="X7" s="210">
        <f t="shared" si="1"/>
        <v>1761.5400000000002</v>
      </c>
      <c r="Y7" s="210">
        <f t="shared" si="1"/>
        <v>1789.3400000000001</v>
      </c>
      <c r="Z7" s="210">
        <f t="shared" si="1"/>
        <v>1868.04</v>
      </c>
      <c r="AA7" s="210">
        <f t="shared" si="1"/>
        <v>1846.5400000000002</v>
      </c>
      <c r="AB7" s="210">
        <f t="shared" si="1"/>
        <v>1804.64</v>
      </c>
      <c r="AC7" s="210">
        <f t="shared" si="1"/>
        <v>1793.64</v>
      </c>
      <c r="AD7" s="210">
        <f t="shared" si="1"/>
        <v>1833.84</v>
      </c>
      <c r="AE7" s="210">
        <f t="shared" si="1"/>
        <v>1778.44</v>
      </c>
      <c r="AF7" s="210">
        <f t="shared" si="1"/>
        <v>1755.0400000000002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52.9</v>
      </c>
      <c r="C11" s="221">
        <v>52.9</v>
      </c>
      <c r="D11" s="221">
        <v>52.9</v>
      </c>
      <c r="E11" s="221">
        <v>52.9</v>
      </c>
      <c r="F11" s="221">
        <v>52.9</v>
      </c>
      <c r="G11" s="221">
        <v>52.9</v>
      </c>
      <c r="H11" s="221">
        <v>52.9</v>
      </c>
      <c r="I11" s="221">
        <v>52.9</v>
      </c>
      <c r="J11" s="221">
        <v>52.9</v>
      </c>
      <c r="K11" s="221">
        <v>52.9</v>
      </c>
      <c r="L11" s="221">
        <v>52.9</v>
      </c>
      <c r="M11" s="221">
        <v>52.9</v>
      </c>
      <c r="N11" s="221">
        <v>52.9</v>
      </c>
      <c r="O11" s="221">
        <v>52.9</v>
      </c>
      <c r="P11" s="221">
        <v>52.9</v>
      </c>
      <c r="Q11" s="221">
        <v>52.9</v>
      </c>
      <c r="R11" s="221">
        <v>52.6</v>
      </c>
      <c r="S11" s="224">
        <v>52.6</v>
      </c>
      <c r="T11" s="224">
        <v>52.6</v>
      </c>
      <c r="U11" s="224">
        <v>52.6</v>
      </c>
      <c r="V11" s="224">
        <v>52.6</v>
      </c>
      <c r="W11" s="224">
        <v>52.6</v>
      </c>
      <c r="X11" s="224">
        <v>52.6</v>
      </c>
      <c r="Y11" s="224">
        <v>52.6</v>
      </c>
      <c r="Z11" s="224">
        <v>52.6</v>
      </c>
      <c r="AA11" s="224">
        <v>52.6</v>
      </c>
      <c r="AB11" s="224">
        <v>52.6</v>
      </c>
      <c r="AC11" s="224">
        <v>52.6</v>
      </c>
      <c r="AD11" s="224">
        <v>52.6</v>
      </c>
      <c r="AE11" s="224">
        <v>52.6</v>
      </c>
      <c r="AF11" s="224">
        <v>52.6</v>
      </c>
      <c r="AG11" s="225">
        <v>52.4</v>
      </c>
      <c r="AH11" s="226">
        <f>MAX(B11:AF11)</f>
        <v>52.9</v>
      </c>
      <c r="AI11" s="227">
        <f>MIN(B11:AF11)</f>
        <v>52.6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50.3</v>
      </c>
      <c r="C12" s="221">
        <v>50.3</v>
      </c>
      <c r="D12" s="221">
        <v>50.3</v>
      </c>
      <c r="E12" s="221">
        <v>50.3</v>
      </c>
      <c r="F12" s="221">
        <v>50.3</v>
      </c>
      <c r="G12" s="221">
        <v>50.3</v>
      </c>
      <c r="H12" s="221">
        <v>50.3</v>
      </c>
      <c r="I12" s="221">
        <v>50.3</v>
      </c>
      <c r="J12" s="221">
        <v>50.3</v>
      </c>
      <c r="K12" s="221">
        <v>50.3</v>
      </c>
      <c r="L12" s="221">
        <v>50.3</v>
      </c>
      <c r="M12" s="221">
        <v>50.5</v>
      </c>
      <c r="N12" s="221">
        <v>50.5</v>
      </c>
      <c r="O12" s="221">
        <v>50.5</v>
      </c>
      <c r="P12" s="221">
        <v>50.5</v>
      </c>
      <c r="Q12" s="221">
        <v>50.5</v>
      </c>
      <c r="R12" s="221">
        <v>50.5</v>
      </c>
      <c r="S12" s="221">
        <v>50.7</v>
      </c>
      <c r="T12" s="221">
        <v>50.7</v>
      </c>
      <c r="U12" s="221">
        <v>50.7</v>
      </c>
      <c r="V12" s="221">
        <v>50.7</v>
      </c>
      <c r="W12" s="221">
        <v>50.7</v>
      </c>
      <c r="X12" s="221">
        <v>50.7</v>
      </c>
      <c r="Y12" s="221">
        <v>50.7</v>
      </c>
      <c r="Z12" s="221">
        <v>50.7</v>
      </c>
      <c r="AA12" s="221">
        <v>50.7</v>
      </c>
      <c r="AB12" s="221">
        <v>50.7</v>
      </c>
      <c r="AC12" s="221">
        <v>50.2</v>
      </c>
      <c r="AD12" s="221">
        <v>50.5</v>
      </c>
      <c r="AE12" s="221">
        <v>50.5</v>
      </c>
      <c r="AF12" s="221">
        <v>50.5</v>
      </c>
      <c r="AG12" s="229">
        <v>50</v>
      </c>
      <c r="AH12" s="226">
        <f t="shared" ref="AH12:AH79" si="2">MAX(B12:AF12)</f>
        <v>50.7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46.1</v>
      </c>
      <c r="C13" s="221">
        <v>46.1</v>
      </c>
      <c r="D13" s="221">
        <v>46.1</v>
      </c>
      <c r="E13" s="221">
        <v>46.1</v>
      </c>
      <c r="F13" s="221">
        <v>46.1</v>
      </c>
      <c r="G13" s="221">
        <v>46.1</v>
      </c>
      <c r="H13" s="221">
        <v>46.1</v>
      </c>
      <c r="I13" s="221">
        <v>46.1</v>
      </c>
      <c r="J13" s="221">
        <v>46.1</v>
      </c>
      <c r="K13" s="221">
        <v>46.1</v>
      </c>
      <c r="L13" s="221">
        <v>46.1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46.1</v>
      </c>
      <c r="T13" s="221">
        <v>46.1</v>
      </c>
      <c r="U13" s="221">
        <v>46.1</v>
      </c>
      <c r="V13" s="221">
        <v>46.1</v>
      </c>
      <c r="W13" s="221">
        <v>46.1</v>
      </c>
      <c r="X13" s="221">
        <v>46.1</v>
      </c>
      <c r="Y13" s="221">
        <v>46.1</v>
      </c>
      <c r="Z13" s="221">
        <v>46.1</v>
      </c>
      <c r="AA13" s="221">
        <v>46.1</v>
      </c>
      <c r="AB13" s="221">
        <v>46.1</v>
      </c>
      <c r="AC13" s="221">
        <v>46.2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46.2</v>
      </c>
      <c r="AI13" s="227">
        <f t="shared" si="3"/>
        <v>45.9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35</v>
      </c>
      <c r="C14" s="221">
        <v>35</v>
      </c>
      <c r="D14" s="221">
        <v>40</v>
      </c>
      <c r="E14" s="221">
        <v>40</v>
      </c>
      <c r="F14" s="221">
        <v>40</v>
      </c>
      <c r="G14" s="221">
        <v>40</v>
      </c>
      <c r="H14" s="221">
        <v>35</v>
      </c>
      <c r="I14" s="221">
        <v>35</v>
      </c>
      <c r="J14" s="221">
        <v>35</v>
      </c>
      <c r="K14" s="221">
        <v>35</v>
      </c>
      <c r="L14" s="221">
        <v>35</v>
      </c>
      <c r="M14" s="221">
        <v>35</v>
      </c>
      <c r="N14" s="221">
        <v>37</v>
      </c>
      <c r="O14" s="221">
        <v>37</v>
      </c>
      <c r="P14" s="221">
        <v>37</v>
      </c>
      <c r="Q14" s="221">
        <v>37</v>
      </c>
      <c r="R14" s="221">
        <v>37</v>
      </c>
      <c r="S14" s="221">
        <v>35</v>
      </c>
      <c r="T14" s="221">
        <v>35</v>
      </c>
      <c r="U14" s="221">
        <v>35</v>
      </c>
      <c r="V14" s="221">
        <v>35</v>
      </c>
      <c r="W14" s="221">
        <v>35</v>
      </c>
      <c r="X14" s="221">
        <v>35</v>
      </c>
      <c r="Y14" s="221">
        <v>35</v>
      </c>
      <c r="Z14" s="221">
        <v>38</v>
      </c>
      <c r="AA14" s="221">
        <v>38</v>
      </c>
      <c r="AB14" s="221">
        <v>27</v>
      </c>
      <c r="AC14" s="221">
        <v>27</v>
      </c>
      <c r="AD14" s="221">
        <v>35</v>
      </c>
      <c r="AE14" s="221">
        <v>28</v>
      </c>
      <c r="AF14" s="221">
        <v>28</v>
      </c>
      <c r="AG14" s="229">
        <v>42</v>
      </c>
      <c r="AH14" s="226">
        <f t="shared" si="2"/>
        <v>40</v>
      </c>
      <c r="AI14" s="227">
        <f t="shared" si="3"/>
        <v>27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10</v>
      </c>
      <c r="C15" s="221">
        <v>10</v>
      </c>
      <c r="D15" s="221">
        <v>0</v>
      </c>
      <c r="E15" s="221">
        <v>0</v>
      </c>
      <c r="F15" s="221">
        <v>0</v>
      </c>
      <c r="G15" s="221">
        <v>0</v>
      </c>
      <c r="H15" s="221">
        <v>10</v>
      </c>
      <c r="I15" s="221">
        <v>15</v>
      </c>
      <c r="J15" s="221">
        <v>25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30</v>
      </c>
      <c r="S15" s="221">
        <v>11</v>
      </c>
      <c r="T15" s="221">
        <v>15</v>
      </c>
      <c r="U15" s="221">
        <v>15</v>
      </c>
      <c r="V15" s="221">
        <v>15</v>
      </c>
      <c r="W15" s="221">
        <v>10</v>
      </c>
      <c r="X15" s="221">
        <v>10</v>
      </c>
      <c r="Y15" s="221">
        <v>30</v>
      </c>
      <c r="Z15" s="221">
        <v>30</v>
      </c>
      <c r="AA15" s="221">
        <v>30</v>
      </c>
      <c r="AB15" s="221">
        <v>10</v>
      </c>
      <c r="AC15" s="221">
        <v>10</v>
      </c>
      <c r="AD15" s="221">
        <v>30</v>
      </c>
      <c r="AE15" s="221">
        <v>15</v>
      </c>
      <c r="AF15" s="221">
        <v>15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25.4</v>
      </c>
      <c r="C16" s="221">
        <v>25.4</v>
      </c>
      <c r="D16" s="221">
        <v>25.4</v>
      </c>
      <c r="E16" s="221">
        <v>25.4</v>
      </c>
      <c r="F16" s="221">
        <v>25.4</v>
      </c>
      <c r="G16" s="221">
        <v>25.4</v>
      </c>
      <c r="H16" s="221">
        <v>25.4</v>
      </c>
      <c r="I16" s="221">
        <v>25.4</v>
      </c>
      <c r="J16" s="221">
        <v>25.4</v>
      </c>
      <c r="K16" s="221">
        <v>25.4</v>
      </c>
      <c r="L16" s="221">
        <v>25.4</v>
      </c>
      <c r="M16" s="221">
        <v>25.4</v>
      </c>
      <c r="N16" s="221">
        <v>25.4</v>
      </c>
      <c r="O16" s="221">
        <v>25.4</v>
      </c>
      <c r="P16" s="221">
        <v>25.4</v>
      </c>
      <c r="Q16" s="221">
        <v>25.4</v>
      </c>
      <c r="R16" s="221">
        <v>25.4</v>
      </c>
      <c r="S16" s="221">
        <v>25.2</v>
      </c>
      <c r="T16" s="221">
        <v>25.2</v>
      </c>
      <c r="U16" s="221">
        <v>25.2</v>
      </c>
      <c r="V16" s="221">
        <v>25.2</v>
      </c>
      <c r="W16" s="221">
        <v>25.2</v>
      </c>
      <c r="X16" s="221">
        <v>25.2</v>
      </c>
      <c r="Y16" s="221">
        <v>25.2</v>
      </c>
      <c r="Z16" s="221">
        <v>25.2</v>
      </c>
      <c r="AA16" s="221">
        <v>25.2</v>
      </c>
      <c r="AB16" s="221">
        <v>25.2</v>
      </c>
      <c r="AC16" s="221">
        <v>24.8</v>
      </c>
      <c r="AD16" s="221">
        <v>25</v>
      </c>
      <c r="AE16" s="221">
        <v>25</v>
      </c>
      <c r="AF16" s="221">
        <v>25</v>
      </c>
      <c r="AG16" s="229">
        <v>25</v>
      </c>
      <c r="AH16" s="226">
        <f t="shared" si="2"/>
        <v>25.4</v>
      </c>
      <c r="AI16" s="227">
        <f t="shared" si="3"/>
        <v>24.8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0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23</v>
      </c>
      <c r="W17" s="221">
        <v>23</v>
      </c>
      <c r="X17" s="221">
        <v>23</v>
      </c>
      <c r="Y17" s="221">
        <v>23</v>
      </c>
      <c r="Z17" s="221">
        <v>23</v>
      </c>
      <c r="AA17" s="221">
        <v>23</v>
      </c>
      <c r="AB17" s="221">
        <v>23</v>
      </c>
      <c r="AC17" s="221">
        <v>23</v>
      </c>
      <c r="AD17" s="221">
        <v>23</v>
      </c>
      <c r="AE17" s="221">
        <v>23</v>
      </c>
      <c r="AF17" s="221">
        <v>23</v>
      </c>
      <c r="AG17" s="229">
        <v>25</v>
      </c>
      <c r="AH17" s="226">
        <f t="shared" si="2"/>
        <v>25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33.200000000000003</v>
      </c>
      <c r="C19" s="221">
        <v>33.200000000000003</v>
      </c>
      <c r="D19" s="221">
        <v>33.200000000000003</v>
      </c>
      <c r="E19" s="221">
        <v>33.200000000000003</v>
      </c>
      <c r="F19" s="221">
        <v>33.200000000000003</v>
      </c>
      <c r="G19" s="221">
        <v>33.200000000000003</v>
      </c>
      <c r="H19" s="221">
        <v>33.200000000000003</v>
      </c>
      <c r="I19" s="221">
        <v>33.200000000000003</v>
      </c>
      <c r="J19" s="221">
        <v>33.200000000000003</v>
      </c>
      <c r="K19" s="221">
        <v>33.200000000000003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26.3</v>
      </c>
      <c r="AD19" s="221">
        <v>33.200000000000003</v>
      </c>
      <c r="AE19" s="221">
        <v>26</v>
      </c>
      <c r="AF19" s="221">
        <v>26</v>
      </c>
      <c r="AG19" s="229">
        <v>24.2</v>
      </c>
      <c r="AH19" s="226">
        <f t="shared" si="2"/>
        <v>33.200000000000003</v>
      </c>
      <c r="AI19" s="227">
        <f t="shared" si="3"/>
        <v>26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23.4</v>
      </c>
      <c r="R20" s="221">
        <v>23.4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23.8</v>
      </c>
      <c r="AE20" s="221">
        <v>23.8</v>
      </c>
      <c r="AF20" s="221">
        <v>23.8</v>
      </c>
      <c r="AG20" s="229">
        <v>23.5</v>
      </c>
      <c r="AH20" s="226">
        <f t="shared" si="2"/>
        <v>23.8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0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22</v>
      </c>
      <c r="AC22" s="221">
        <v>22</v>
      </c>
      <c r="AD22" s="221">
        <v>22</v>
      </c>
      <c r="AE22" s="221">
        <v>20</v>
      </c>
      <c r="AF22" s="221">
        <v>20</v>
      </c>
      <c r="AG22" s="229">
        <v>22.1</v>
      </c>
      <c r="AH22" s="226">
        <f t="shared" si="2"/>
        <v>22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0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20</v>
      </c>
      <c r="Q23" s="221">
        <v>20</v>
      </c>
      <c r="R23" s="221">
        <v>20</v>
      </c>
      <c r="S23" s="221">
        <v>20</v>
      </c>
      <c r="T23" s="221">
        <v>20</v>
      </c>
      <c r="U23" s="221">
        <v>20</v>
      </c>
      <c r="V23" s="221">
        <v>20</v>
      </c>
      <c r="W23" s="221">
        <v>20</v>
      </c>
      <c r="X23" s="221">
        <v>20</v>
      </c>
      <c r="Y23" s="221">
        <v>20</v>
      </c>
      <c r="Z23" s="221">
        <v>20</v>
      </c>
      <c r="AA23" s="221">
        <v>20</v>
      </c>
      <c r="AB23" s="221">
        <v>22</v>
      </c>
      <c r="AC23" s="221">
        <v>22</v>
      </c>
      <c r="AD23" s="221">
        <v>22</v>
      </c>
      <c r="AE23" s="221">
        <v>20</v>
      </c>
      <c r="AF23" s="221">
        <v>20</v>
      </c>
      <c r="AG23" s="229">
        <v>22</v>
      </c>
      <c r="AH23" s="226">
        <f t="shared" si="2"/>
        <v>22</v>
      </c>
      <c r="AI23" s="227">
        <f t="shared" si="3"/>
        <v>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22</v>
      </c>
      <c r="C24" s="221">
        <v>22</v>
      </c>
      <c r="D24" s="221">
        <v>22</v>
      </c>
      <c r="E24" s="221">
        <v>22</v>
      </c>
      <c r="F24" s="221">
        <v>22</v>
      </c>
      <c r="G24" s="221">
        <v>22</v>
      </c>
      <c r="H24" s="221">
        <v>22</v>
      </c>
      <c r="I24" s="221">
        <v>22</v>
      </c>
      <c r="J24" s="221">
        <v>22</v>
      </c>
      <c r="K24" s="221">
        <v>22</v>
      </c>
      <c r="L24" s="221">
        <v>22</v>
      </c>
      <c r="M24" s="221">
        <v>17</v>
      </c>
      <c r="N24" s="221">
        <v>17</v>
      </c>
      <c r="O24" s="221">
        <v>17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22</v>
      </c>
      <c r="AI24" s="227">
        <f t="shared" si="3"/>
        <v>17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10</v>
      </c>
      <c r="C25" s="221">
        <v>10</v>
      </c>
      <c r="D25" s="221">
        <v>10</v>
      </c>
      <c r="E25" s="221">
        <v>10</v>
      </c>
      <c r="F25" s="221">
        <v>10</v>
      </c>
      <c r="G25" s="221">
        <v>10</v>
      </c>
      <c r="H25" s="221">
        <v>13</v>
      </c>
      <c r="I25" s="221">
        <v>15</v>
      </c>
      <c r="J25" s="221">
        <v>15</v>
      </c>
      <c r="K25" s="221">
        <v>15</v>
      </c>
      <c r="L25" s="221">
        <v>15</v>
      </c>
      <c r="M25" s="221">
        <v>15</v>
      </c>
      <c r="N25" s="221">
        <v>15</v>
      </c>
      <c r="O25" s="221">
        <v>10</v>
      </c>
      <c r="P25" s="221">
        <v>10</v>
      </c>
      <c r="Q25" s="221">
        <v>13</v>
      </c>
      <c r="R25" s="221">
        <v>13</v>
      </c>
      <c r="S25" s="221">
        <v>13</v>
      </c>
      <c r="T25" s="221">
        <v>13</v>
      </c>
      <c r="U25" s="221">
        <v>13</v>
      </c>
      <c r="V25" s="221">
        <v>13</v>
      </c>
      <c r="W25" s="221">
        <v>13</v>
      </c>
      <c r="X25" s="221">
        <v>13</v>
      </c>
      <c r="Y25" s="221">
        <v>13</v>
      </c>
      <c r="Z25" s="221">
        <v>13</v>
      </c>
      <c r="AA25" s="221">
        <v>13</v>
      </c>
      <c r="AB25" s="221">
        <v>13</v>
      </c>
      <c r="AC25" s="221">
        <v>13</v>
      </c>
      <c r="AD25" s="221">
        <v>13</v>
      </c>
      <c r="AE25" s="221">
        <v>5</v>
      </c>
      <c r="AF25" s="221">
        <v>5</v>
      </c>
      <c r="AG25" s="229">
        <v>20</v>
      </c>
      <c r="AH25" s="226">
        <f t="shared" si="2"/>
        <v>15</v>
      </c>
      <c r="AI25" s="227">
        <f t="shared" si="3"/>
        <v>5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</v>
      </c>
      <c r="C26" s="221">
        <v>14</v>
      </c>
      <c r="D26" s="221">
        <v>14</v>
      </c>
      <c r="E26" s="221">
        <v>14</v>
      </c>
      <c r="F26" s="221">
        <v>14</v>
      </c>
      <c r="G26" s="221">
        <v>14</v>
      </c>
      <c r="H26" s="221">
        <v>14</v>
      </c>
      <c r="I26" s="221">
        <v>0</v>
      </c>
      <c r="J26" s="221">
        <v>14</v>
      </c>
      <c r="K26" s="221">
        <v>14</v>
      </c>
      <c r="L26" s="221">
        <v>14</v>
      </c>
      <c r="M26" s="221">
        <v>14</v>
      </c>
      <c r="N26" s="221">
        <v>14</v>
      </c>
      <c r="O26" s="221">
        <v>14</v>
      </c>
      <c r="P26" s="221">
        <v>14</v>
      </c>
      <c r="Q26" s="221">
        <v>14</v>
      </c>
      <c r="R26" s="221">
        <v>14</v>
      </c>
      <c r="S26" s="221">
        <v>14</v>
      </c>
      <c r="T26" s="221">
        <v>14</v>
      </c>
      <c r="U26" s="221">
        <v>14</v>
      </c>
      <c r="V26" s="221">
        <v>14</v>
      </c>
      <c r="W26" s="221">
        <v>14</v>
      </c>
      <c r="X26" s="221">
        <v>14</v>
      </c>
      <c r="Y26" s="221">
        <v>14</v>
      </c>
      <c r="Z26" s="221">
        <v>14</v>
      </c>
      <c r="AA26" s="221">
        <v>14</v>
      </c>
      <c r="AB26" s="221">
        <v>14</v>
      </c>
      <c r="AC26" s="221">
        <v>14</v>
      </c>
      <c r="AD26" s="221">
        <v>14</v>
      </c>
      <c r="AE26" s="221">
        <v>14</v>
      </c>
      <c r="AF26" s="221">
        <v>14</v>
      </c>
      <c r="AG26" s="229">
        <v>14.9</v>
      </c>
      <c r="AH26" s="226">
        <f t="shared" si="2"/>
        <v>14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8</v>
      </c>
      <c r="C27" s="221">
        <v>8</v>
      </c>
      <c r="D27" s="221">
        <v>8</v>
      </c>
      <c r="E27" s="221">
        <v>8</v>
      </c>
      <c r="F27" s="221">
        <v>8</v>
      </c>
      <c r="G27" s="221">
        <v>8</v>
      </c>
      <c r="H27" s="221">
        <v>8</v>
      </c>
      <c r="I27" s="221">
        <v>8</v>
      </c>
      <c r="J27" s="221">
        <v>8</v>
      </c>
      <c r="K27" s="221">
        <v>8</v>
      </c>
      <c r="L27" s="221">
        <v>8</v>
      </c>
      <c r="M27" s="221">
        <v>8</v>
      </c>
      <c r="N27" s="221">
        <v>8</v>
      </c>
      <c r="O27" s="221">
        <v>8</v>
      </c>
      <c r="P27" s="221">
        <v>8</v>
      </c>
      <c r="Q27" s="221">
        <v>8</v>
      </c>
      <c r="R27" s="221">
        <v>8</v>
      </c>
      <c r="S27" s="221">
        <v>8</v>
      </c>
      <c r="T27" s="221">
        <v>8</v>
      </c>
      <c r="U27" s="221">
        <v>8</v>
      </c>
      <c r="V27" s="221">
        <v>8</v>
      </c>
      <c r="W27" s="221">
        <v>8</v>
      </c>
      <c r="X27" s="221">
        <v>8</v>
      </c>
      <c r="Y27" s="221">
        <v>8</v>
      </c>
      <c r="Z27" s="221">
        <v>8</v>
      </c>
      <c r="AA27" s="221">
        <v>8</v>
      </c>
      <c r="AB27" s="221">
        <v>8</v>
      </c>
      <c r="AC27" s="221">
        <v>8</v>
      </c>
      <c r="AD27" s="221">
        <v>8</v>
      </c>
      <c r="AE27" s="221">
        <v>8</v>
      </c>
      <c r="AF27" s="221">
        <v>8</v>
      </c>
      <c r="AG27" s="229">
        <v>13.6</v>
      </c>
      <c r="AH27" s="226">
        <f t="shared" si="2"/>
        <v>8</v>
      </c>
      <c r="AI27" s="227">
        <f t="shared" si="3"/>
        <v>8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>
        <v>12</v>
      </c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12</v>
      </c>
      <c r="Z29" s="221">
        <v>12</v>
      </c>
      <c r="AA29" s="221">
        <v>12</v>
      </c>
      <c r="AB29" s="221">
        <v>12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12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11.5</v>
      </c>
      <c r="C32" s="221">
        <v>11.5</v>
      </c>
      <c r="D32" s="221">
        <v>11.5</v>
      </c>
      <c r="E32" s="221">
        <v>11.5</v>
      </c>
      <c r="F32" s="221">
        <v>11.5</v>
      </c>
      <c r="G32" s="221">
        <v>11.5</v>
      </c>
      <c r="H32" s="221">
        <v>11.5</v>
      </c>
      <c r="I32" s="221">
        <v>11.5</v>
      </c>
      <c r="J32" s="221">
        <v>11.5</v>
      </c>
      <c r="K32" s="221">
        <v>11.5</v>
      </c>
      <c r="L32" s="221">
        <v>11.5</v>
      </c>
      <c r="M32" s="221">
        <v>11.5</v>
      </c>
      <c r="N32" s="221">
        <v>11.5</v>
      </c>
      <c r="O32" s="221">
        <v>11.5</v>
      </c>
      <c r="P32" s="221">
        <v>11.5</v>
      </c>
      <c r="Q32" s="221">
        <v>11.5</v>
      </c>
      <c r="R32" s="221">
        <v>11.5</v>
      </c>
      <c r="S32" s="221">
        <v>11.5</v>
      </c>
      <c r="T32" s="221">
        <v>11.5</v>
      </c>
      <c r="U32" s="221">
        <v>11.5</v>
      </c>
      <c r="V32" s="221">
        <v>11.5</v>
      </c>
      <c r="W32" s="221">
        <v>11.5</v>
      </c>
      <c r="X32" s="221">
        <v>11.5</v>
      </c>
      <c r="Y32" s="221">
        <v>11.5</v>
      </c>
      <c r="Z32" s="221">
        <v>11.5</v>
      </c>
      <c r="AA32" s="221">
        <v>11.5</v>
      </c>
      <c r="AB32" s="221">
        <v>0</v>
      </c>
      <c r="AC32" s="221">
        <v>0</v>
      </c>
      <c r="AD32" s="221">
        <v>0</v>
      </c>
      <c r="AE32" s="221">
        <v>0</v>
      </c>
      <c r="AF32" s="221">
        <v>0</v>
      </c>
      <c r="AG32" s="230">
        <v>11.88</v>
      </c>
      <c r="AH32" s="226">
        <f t="shared" si="2"/>
        <v>11.5</v>
      </c>
      <c r="AI32" s="227">
        <f t="shared" si="3"/>
        <v>0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0</v>
      </c>
      <c r="T35" s="221">
        <v>0</v>
      </c>
      <c r="U35" s="221">
        <v>0</v>
      </c>
      <c r="V35" s="221">
        <v>0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270</v>
      </c>
      <c r="W36" s="237">
        <v>270</v>
      </c>
      <c r="X36" s="237">
        <v>270</v>
      </c>
      <c r="Y36" s="237">
        <v>270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270</v>
      </c>
      <c r="AK36" s="228"/>
    </row>
    <row r="37" spans="1:88" ht="15.75" thickBot="1" x14ac:dyDescent="0.3">
      <c r="A37" s="238" t="s">
        <v>45</v>
      </c>
      <c r="B37" s="239">
        <v>183</v>
      </c>
      <c r="C37" s="239">
        <v>184</v>
      </c>
      <c r="D37" s="239">
        <v>184</v>
      </c>
      <c r="E37" s="239">
        <v>184</v>
      </c>
      <c r="F37" s="239">
        <v>184</v>
      </c>
      <c r="G37" s="239">
        <v>184</v>
      </c>
      <c r="H37" s="239">
        <v>184</v>
      </c>
      <c r="I37" s="239">
        <v>26</v>
      </c>
      <c r="J37" s="239">
        <f>82+83</f>
        <v>165</v>
      </c>
      <c r="K37" s="239">
        <f>91+84</f>
        <v>175</v>
      </c>
      <c r="L37" s="239">
        <f>91+84</f>
        <v>175</v>
      </c>
      <c r="M37" s="237">
        <f>99.8+84</f>
        <v>183.8</v>
      </c>
      <c r="N37" s="237">
        <v>184.3</v>
      </c>
      <c r="O37" s="237">
        <f>84.9+98.1</f>
        <v>183</v>
      </c>
      <c r="P37" s="237">
        <f>97.1+82.7</f>
        <v>179.8</v>
      </c>
      <c r="Q37" s="237">
        <f>98.5+82.3</f>
        <v>180.8</v>
      </c>
      <c r="R37" s="237">
        <f>91.7+81.2</f>
        <v>172.9</v>
      </c>
      <c r="S37" s="237">
        <f>87.2+81.9</f>
        <v>169.10000000000002</v>
      </c>
      <c r="T37" s="237">
        <f>92.8+82.2</f>
        <v>175</v>
      </c>
      <c r="U37" s="237">
        <f t="shared" ref="U37" si="4">92.8+82.2</f>
        <v>175</v>
      </c>
      <c r="V37" s="237">
        <f>79+72.1</f>
        <v>151.1</v>
      </c>
      <c r="W37" s="237">
        <f>72+77</f>
        <v>149</v>
      </c>
      <c r="X37" s="239">
        <f>75+77</f>
        <v>152</v>
      </c>
      <c r="Y37" s="239">
        <f>75+77</f>
        <v>152</v>
      </c>
      <c r="Z37" s="239">
        <v>165.6</v>
      </c>
      <c r="AA37" s="239">
        <f>92.5+82</f>
        <v>174.5</v>
      </c>
      <c r="AB37" s="239">
        <f>92.2+81.6</f>
        <v>173.8</v>
      </c>
      <c r="AC37" s="239">
        <f>81.4+96.1</f>
        <v>177.5</v>
      </c>
      <c r="AD37" s="239">
        <f>81.8+97.8</f>
        <v>179.6</v>
      </c>
      <c r="AE37" s="239">
        <f>82.3+95.8</f>
        <v>178.1</v>
      </c>
      <c r="AF37" s="239">
        <f>82.7+96.2</f>
        <v>178.9</v>
      </c>
      <c r="AG37" s="235">
        <v>240</v>
      </c>
      <c r="AH37" s="226">
        <f t="shared" si="2"/>
        <v>184.3</v>
      </c>
      <c r="AI37" s="227">
        <f t="shared" si="3"/>
        <v>26</v>
      </c>
      <c r="AK37" s="228"/>
    </row>
    <row r="38" spans="1:88" ht="15.75" thickBot="1" x14ac:dyDescent="0.3">
      <c r="A38" s="240" t="s">
        <v>46</v>
      </c>
      <c r="B38" s="241">
        <f t="shared" ref="B38:AG38" si="5">SUM(B11:B36)</f>
        <v>810.8</v>
      </c>
      <c r="C38" s="241">
        <f t="shared" si="5"/>
        <v>810.8</v>
      </c>
      <c r="D38" s="241">
        <f t="shared" si="5"/>
        <v>805.8</v>
      </c>
      <c r="E38" s="241">
        <f t="shared" si="5"/>
        <v>805.8</v>
      </c>
      <c r="F38" s="241">
        <f t="shared" si="5"/>
        <v>805.8</v>
      </c>
      <c r="G38" s="241">
        <f t="shared" si="5"/>
        <v>805.8</v>
      </c>
      <c r="H38" s="241">
        <f t="shared" si="5"/>
        <v>813.8</v>
      </c>
      <c r="I38" s="241">
        <f t="shared" si="5"/>
        <v>737.8</v>
      </c>
      <c r="J38" s="241">
        <f t="shared" si="5"/>
        <v>830.8</v>
      </c>
      <c r="K38" s="241">
        <f t="shared" si="5"/>
        <v>835.8</v>
      </c>
      <c r="L38" s="241">
        <f t="shared" si="5"/>
        <v>835.8</v>
      </c>
      <c r="M38" s="241">
        <f t="shared" si="5"/>
        <v>830.8</v>
      </c>
      <c r="N38" s="241">
        <f t="shared" si="5"/>
        <v>832.8</v>
      </c>
      <c r="O38" s="241">
        <f t="shared" si="5"/>
        <v>827.8</v>
      </c>
      <c r="P38" s="241">
        <f t="shared" si="5"/>
        <v>826.8</v>
      </c>
      <c r="Q38" s="241">
        <f t="shared" si="5"/>
        <v>829.8</v>
      </c>
      <c r="R38" s="241">
        <f t="shared" si="5"/>
        <v>829.5</v>
      </c>
      <c r="S38" s="241">
        <f t="shared" si="5"/>
        <v>808.7</v>
      </c>
      <c r="T38" s="241">
        <f t="shared" si="5"/>
        <v>812.7</v>
      </c>
      <c r="U38" s="241">
        <f t="shared" si="5"/>
        <v>812.7</v>
      </c>
      <c r="V38" s="241">
        <f t="shared" si="5"/>
        <v>780.7</v>
      </c>
      <c r="W38" s="241">
        <f t="shared" si="5"/>
        <v>775.7</v>
      </c>
      <c r="X38" s="241">
        <f t="shared" si="5"/>
        <v>775.7</v>
      </c>
      <c r="Y38" s="241">
        <f t="shared" si="5"/>
        <v>795.7</v>
      </c>
      <c r="Z38" s="241">
        <f t="shared" si="5"/>
        <v>828.7</v>
      </c>
      <c r="AA38" s="241">
        <f t="shared" si="5"/>
        <v>828.7</v>
      </c>
      <c r="AB38" s="241">
        <f t="shared" si="5"/>
        <v>790.2</v>
      </c>
      <c r="AC38" s="241">
        <f t="shared" si="5"/>
        <v>782.5</v>
      </c>
      <c r="AD38" s="241">
        <f t="shared" si="5"/>
        <v>818.1</v>
      </c>
      <c r="AE38" s="241">
        <f t="shared" si="5"/>
        <v>776.90000000000009</v>
      </c>
      <c r="AF38" s="241">
        <f t="shared" si="5"/>
        <v>776.90000000000009</v>
      </c>
      <c r="AG38" s="242">
        <f t="shared" si="5"/>
        <v>665.78</v>
      </c>
      <c r="AH38" s="226">
        <f t="shared" si="2"/>
        <v>835.8</v>
      </c>
      <c r="AI38" s="227">
        <f t="shared" si="3"/>
        <v>737.8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456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6">SUM(C39:C41)</f>
        <v>538</v>
      </c>
      <c r="D42" s="241">
        <f t="shared" si="6"/>
        <v>538</v>
      </c>
      <c r="E42" s="241">
        <f t="shared" si="6"/>
        <v>538</v>
      </c>
      <c r="F42" s="241">
        <f t="shared" si="6"/>
        <v>538</v>
      </c>
      <c r="G42" s="241">
        <f t="shared" si="6"/>
        <v>538</v>
      </c>
      <c r="H42" s="241">
        <f t="shared" si="6"/>
        <v>538</v>
      </c>
      <c r="I42" s="241">
        <f t="shared" si="6"/>
        <v>538</v>
      </c>
      <c r="J42" s="241">
        <f t="shared" si="6"/>
        <v>538</v>
      </c>
      <c r="K42" s="241">
        <f t="shared" si="6"/>
        <v>538</v>
      </c>
      <c r="L42" s="241">
        <f t="shared" si="6"/>
        <v>538</v>
      </c>
      <c r="M42" s="241">
        <f t="shared" si="6"/>
        <v>538</v>
      </c>
      <c r="N42" s="241">
        <f t="shared" si="6"/>
        <v>538</v>
      </c>
      <c r="O42" s="241">
        <f t="shared" si="6"/>
        <v>538</v>
      </c>
      <c r="P42" s="241">
        <f t="shared" si="6"/>
        <v>538</v>
      </c>
      <c r="Q42" s="241">
        <f t="shared" si="6"/>
        <v>538</v>
      </c>
      <c r="R42" s="241">
        <f t="shared" si="6"/>
        <v>538</v>
      </c>
      <c r="S42" s="241">
        <f t="shared" si="6"/>
        <v>538</v>
      </c>
      <c r="T42" s="241">
        <f t="shared" si="6"/>
        <v>538</v>
      </c>
      <c r="U42" s="241">
        <f t="shared" si="6"/>
        <v>538</v>
      </c>
      <c r="V42" s="241">
        <f t="shared" si="6"/>
        <v>538</v>
      </c>
      <c r="W42" s="241">
        <f t="shared" si="6"/>
        <v>538</v>
      </c>
      <c r="X42" s="241">
        <f t="shared" si="6"/>
        <v>538</v>
      </c>
      <c r="Y42" s="241">
        <f t="shared" si="6"/>
        <v>538</v>
      </c>
      <c r="Z42" s="241">
        <f t="shared" si="6"/>
        <v>538</v>
      </c>
      <c r="AA42" s="241">
        <f t="shared" si="6"/>
        <v>538</v>
      </c>
      <c r="AB42" s="241">
        <f t="shared" si="6"/>
        <v>538</v>
      </c>
      <c r="AC42" s="241">
        <f t="shared" si="6"/>
        <v>538</v>
      </c>
      <c r="AD42" s="241">
        <f t="shared" si="6"/>
        <v>538</v>
      </c>
      <c r="AE42" s="241">
        <f t="shared" si="6"/>
        <v>538</v>
      </c>
      <c r="AF42" s="241">
        <f t="shared" si="6"/>
        <v>538</v>
      </c>
      <c r="AG42" s="242">
        <f t="shared" si="6"/>
        <v>538.1</v>
      </c>
      <c r="AH42" s="226">
        <f t="shared" si="2"/>
        <v>538</v>
      </c>
      <c r="AI42" s="227">
        <f t="shared" si="3"/>
        <v>538</v>
      </c>
      <c r="AK42" s="228"/>
    </row>
    <row r="43" spans="1:88" x14ac:dyDescent="0.25">
      <c r="A43" s="220" t="s">
        <v>51</v>
      </c>
      <c r="B43" s="221">
        <v>142</v>
      </c>
      <c r="C43" s="221">
        <v>142</v>
      </c>
      <c r="D43" s="221">
        <v>142</v>
      </c>
      <c r="E43" s="221">
        <v>142</v>
      </c>
      <c r="F43" s="221">
        <v>142</v>
      </c>
      <c r="G43" s="221">
        <v>142</v>
      </c>
      <c r="H43" s="221">
        <v>142</v>
      </c>
      <c r="I43" s="221">
        <v>142</v>
      </c>
      <c r="J43" s="221">
        <v>142</v>
      </c>
      <c r="K43" s="221">
        <v>142</v>
      </c>
      <c r="L43" s="221">
        <v>142</v>
      </c>
      <c r="M43" s="221">
        <v>143.19999999999999</v>
      </c>
      <c r="N43" s="221">
        <v>144</v>
      </c>
      <c r="O43" s="221">
        <v>143.69999999999999</v>
      </c>
      <c r="P43" s="221">
        <v>143.30000000000001</v>
      </c>
      <c r="Q43" s="221">
        <v>143.4</v>
      </c>
      <c r="R43" s="221">
        <v>142.69999999999999</v>
      </c>
      <c r="S43" s="221">
        <v>141.69999999999999</v>
      </c>
      <c r="T43" s="221">
        <v>143.4</v>
      </c>
      <c r="U43" s="221">
        <v>143.9</v>
      </c>
      <c r="V43" s="221">
        <v>143.9</v>
      </c>
      <c r="W43" s="221">
        <v>143.9</v>
      </c>
      <c r="X43" s="221">
        <v>141</v>
      </c>
      <c r="Y43" s="221">
        <v>141</v>
      </c>
      <c r="Z43" s="221">
        <v>141</v>
      </c>
      <c r="AA43" s="221">
        <v>141</v>
      </c>
      <c r="AB43" s="221">
        <v>141</v>
      </c>
      <c r="AC43" s="221">
        <v>143.19999999999999</v>
      </c>
      <c r="AD43" s="221">
        <v>143.19999999999999</v>
      </c>
      <c r="AE43" s="221">
        <v>143.19999999999999</v>
      </c>
      <c r="AF43" s="221">
        <v>143.19999999999999</v>
      </c>
      <c r="AG43" s="230">
        <v>144</v>
      </c>
      <c r="AH43" s="226">
        <f t="shared" si="2"/>
        <v>144</v>
      </c>
      <c r="AI43" s="227">
        <f t="shared" si="3"/>
        <v>141</v>
      </c>
      <c r="AK43" s="228"/>
    </row>
    <row r="44" spans="1:88" x14ac:dyDescent="0.25">
      <c r="A44" s="234" t="s">
        <v>52</v>
      </c>
      <c r="B44" s="245">
        <v>72.599999999999994</v>
      </c>
      <c r="C44" s="245">
        <v>72.599999999999994</v>
      </c>
      <c r="D44" s="245">
        <v>72.599999999999994</v>
      </c>
      <c r="E44" s="245">
        <v>72.599999999999994</v>
      </c>
      <c r="F44" s="245">
        <v>72.599999999999994</v>
      </c>
      <c r="G44" s="245">
        <v>69</v>
      </c>
      <c r="H44" s="245">
        <v>69</v>
      </c>
      <c r="I44" s="245">
        <v>69</v>
      </c>
      <c r="J44" s="245">
        <v>69</v>
      </c>
      <c r="K44" s="245">
        <v>69</v>
      </c>
      <c r="L44" s="245">
        <v>69</v>
      </c>
      <c r="M44" s="221">
        <v>70.900000000000006</v>
      </c>
      <c r="N44" s="221">
        <v>71</v>
      </c>
      <c r="O44" s="221">
        <v>71.8</v>
      </c>
      <c r="P44" s="221">
        <v>72.2</v>
      </c>
      <c r="Q44" s="221">
        <v>72.3</v>
      </c>
      <c r="R44" s="221">
        <v>73.099999999999994</v>
      </c>
      <c r="S44" s="245">
        <v>73.3</v>
      </c>
      <c r="T44" s="245">
        <v>72.7</v>
      </c>
      <c r="U44" s="245">
        <v>72.400000000000006</v>
      </c>
      <c r="V44" s="245">
        <v>72</v>
      </c>
      <c r="W44" s="245">
        <v>72</v>
      </c>
      <c r="X44" s="245">
        <v>72</v>
      </c>
      <c r="Y44" s="245">
        <v>72</v>
      </c>
      <c r="Z44" s="245">
        <v>72</v>
      </c>
      <c r="AA44" s="245">
        <v>72</v>
      </c>
      <c r="AB44" s="245">
        <v>72</v>
      </c>
      <c r="AC44" s="245">
        <v>69.3</v>
      </c>
      <c r="AD44" s="245">
        <v>69.7</v>
      </c>
      <c r="AE44" s="245">
        <v>69.7</v>
      </c>
      <c r="AF44" s="245">
        <v>69.7</v>
      </c>
      <c r="AG44" s="235">
        <v>70</v>
      </c>
      <c r="AH44" s="226">
        <f t="shared" si="2"/>
        <v>73.3</v>
      </c>
      <c r="AI44" s="227">
        <f t="shared" si="3"/>
        <v>69</v>
      </c>
      <c r="AK44" s="228"/>
    </row>
    <row r="45" spans="1:88" x14ac:dyDescent="0.25">
      <c r="A45" s="234" t="s">
        <v>53</v>
      </c>
      <c r="B45" s="245">
        <v>64.900000000000006</v>
      </c>
      <c r="C45" s="245">
        <v>64.900000000000006</v>
      </c>
      <c r="D45" s="245">
        <v>64.900000000000006</v>
      </c>
      <c r="E45" s="245">
        <v>64.900000000000006</v>
      </c>
      <c r="F45" s="245">
        <v>64.900000000000006</v>
      </c>
      <c r="G45" s="245">
        <v>64.900000000000006</v>
      </c>
      <c r="H45" s="245">
        <v>64.900000000000006</v>
      </c>
      <c r="I45" s="245">
        <v>64.900000000000006</v>
      </c>
      <c r="J45" s="245">
        <v>64.900000000000006</v>
      </c>
      <c r="K45" s="245">
        <v>64.900000000000006</v>
      </c>
      <c r="L45" s="245">
        <v>64.900000000000006</v>
      </c>
      <c r="M45" s="221">
        <v>64.8</v>
      </c>
      <c r="N45" s="221">
        <v>65</v>
      </c>
      <c r="O45" s="221">
        <v>64.5</v>
      </c>
      <c r="P45" s="221">
        <v>64.599999999999994</v>
      </c>
      <c r="Q45" s="221">
        <v>65.3</v>
      </c>
      <c r="R45" s="221">
        <v>64.400000000000006</v>
      </c>
      <c r="S45" s="245">
        <v>64.5</v>
      </c>
      <c r="T45" s="245">
        <v>64.8</v>
      </c>
      <c r="U45" s="245">
        <v>64.8</v>
      </c>
      <c r="V45" s="245">
        <v>64.8</v>
      </c>
      <c r="W45" s="245">
        <v>64.8</v>
      </c>
      <c r="X45" s="245">
        <v>64.8</v>
      </c>
      <c r="Y45" s="245">
        <v>64.8</v>
      </c>
      <c r="Z45" s="245">
        <v>64.8</v>
      </c>
      <c r="AA45" s="245">
        <v>64.8</v>
      </c>
      <c r="AB45" s="245">
        <v>64.8</v>
      </c>
      <c r="AC45" s="245">
        <v>64.8</v>
      </c>
      <c r="AD45" s="245">
        <v>64.099999999999994</v>
      </c>
      <c r="AE45" s="245">
        <v>64.099999999999994</v>
      </c>
      <c r="AF45" s="245">
        <v>64.099999999999994</v>
      </c>
      <c r="AG45" s="235">
        <v>69</v>
      </c>
      <c r="AH45" s="226">
        <f t="shared" si="2"/>
        <v>65.3</v>
      </c>
      <c r="AI45" s="227">
        <f t="shared" si="3"/>
        <v>64.099999999999994</v>
      </c>
      <c r="AK45" s="228"/>
    </row>
    <row r="46" spans="1:88" x14ac:dyDescent="0.25">
      <c r="A46" s="234" t="s">
        <v>54</v>
      </c>
      <c r="B46" s="237">
        <v>60.9</v>
      </c>
      <c r="C46" s="237">
        <v>60.9</v>
      </c>
      <c r="D46" s="237">
        <v>60.9</v>
      </c>
      <c r="E46" s="237">
        <v>60.9</v>
      </c>
      <c r="F46" s="237">
        <v>60.9</v>
      </c>
      <c r="G46" s="237">
        <v>60.9</v>
      </c>
      <c r="H46" s="237">
        <v>60.9</v>
      </c>
      <c r="I46" s="237">
        <v>60.9</v>
      </c>
      <c r="J46" s="237">
        <v>60.9</v>
      </c>
      <c r="K46" s="237">
        <v>60.9</v>
      </c>
      <c r="L46" s="237">
        <v>60.9</v>
      </c>
      <c r="M46" s="221">
        <v>60.7</v>
      </c>
      <c r="N46" s="221">
        <v>60.7</v>
      </c>
      <c r="O46" s="221">
        <v>60.7</v>
      </c>
      <c r="P46" s="221">
        <v>60.7</v>
      </c>
      <c r="Q46" s="221">
        <v>60.7</v>
      </c>
      <c r="R46" s="221">
        <v>60.7</v>
      </c>
      <c r="S46" s="221">
        <v>60.7</v>
      </c>
      <c r="T46" s="221">
        <v>60.7</v>
      </c>
      <c r="U46" s="221">
        <v>62.3</v>
      </c>
      <c r="V46" s="221">
        <v>62.3</v>
      </c>
      <c r="W46" s="221">
        <v>62.3</v>
      </c>
      <c r="X46" s="221">
        <v>62.3</v>
      </c>
      <c r="Y46" s="221">
        <v>62.3</v>
      </c>
      <c r="Z46" s="221">
        <v>62.3</v>
      </c>
      <c r="AA46" s="221">
        <v>62.3</v>
      </c>
      <c r="AB46" s="221">
        <v>62.3</v>
      </c>
      <c r="AC46" s="237">
        <v>62.5</v>
      </c>
      <c r="AD46" s="237">
        <v>62.8</v>
      </c>
      <c r="AE46" s="237">
        <v>62.8</v>
      </c>
      <c r="AF46" s="237">
        <v>62.8</v>
      </c>
      <c r="AG46" s="235">
        <v>60</v>
      </c>
      <c r="AH46" s="226">
        <f t="shared" si="2"/>
        <v>62.8</v>
      </c>
      <c r="AI46" s="227">
        <f t="shared" si="3"/>
        <v>60.7</v>
      </c>
      <c r="AK46" s="228"/>
    </row>
    <row r="47" spans="1:88" x14ac:dyDescent="0.25">
      <c r="A47" s="234" t="s">
        <v>55</v>
      </c>
      <c r="B47" s="237">
        <v>30</v>
      </c>
      <c r="C47" s="237">
        <v>30</v>
      </c>
      <c r="D47" s="237">
        <v>30</v>
      </c>
      <c r="E47" s="237">
        <v>30</v>
      </c>
      <c r="F47" s="237">
        <v>30</v>
      </c>
      <c r="G47" s="237">
        <v>30</v>
      </c>
      <c r="H47" s="237">
        <v>30</v>
      </c>
      <c r="I47" s="237">
        <v>30</v>
      </c>
      <c r="J47" s="237">
        <v>30</v>
      </c>
      <c r="K47" s="237">
        <v>30</v>
      </c>
      <c r="L47" s="237">
        <v>30</v>
      </c>
      <c r="M47" s="237">
        <v>30</v>
      </c>
      <c r="N47" s="221">
        <v>30</v>
      </c>
      <c r="O47" s="221">
        <v>30</v>
      </c>
      <c r="P47" s="221">
        <v>30</v>
      </c>
      <c r="Q47" s="221">
        <v>30</v>
      </c>
      <c r="R47" s="221">
        <v>30</v>
      </c>
      <c r="S47" s="221">
        <v>30</v>
      </c>
      <c r="T47" s="221">
        <v>28.6</v>
      </c>
      <c r="U47" s="221">
        <v>28.5</v>
      </c>
      <c r="V47" s="221">
        <v>28.5</v>
      </c>
      <c r="W47" s="221">
        <v>28.5</v>
      </c>
      <c r="X47" s="221">
        <v>28.5</v>
      </c>
      <c r="Y47" s="221">
        <v>28.5</v>
      </c>
      <c r="Z47" s="221">
        <v>28.5</v>
      </c>
      <c r="AA47" s="221">
        <v>28.5</v>
      </c>
      <c r="AB47" s="221">
        <v>28.5</v>
      </c>
      <c r="AC47" s="237">
        <v>28.4</v>
      </c>
      <c r="AD47" s="237">
        <v>28.4</v>
      </c>
      <c r="AE47" s="237">
        <v>28.4</v>
      </c>
      <c r="AF47" s="237">
        <v>28.4</v>
      </c>
      <c r="AG47" s="235">
        <v>30</v>
      </c>
      <c r="AH47" s="226">
        <f t="shared" si="2"/>
        <v>30</v>
      </c>
      <c r="AI47" s="227">
        <f t="shared" si="3"/>
        <v>28.4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45">
        <v>4</v>
      </c>
      <c r="N48" s="221">
        <v>4</v>
      </c>
      <c r="O48" s="221">
        <v>5</v>
      </c>
      <c r="P48" s="221">
        <v>5</v>
      </c>
      <c r="Q48" s="221">
        <v>5</v>
      </c>
      <c r="R48" s="221">
        <v>7</v>
      </c>
      <c r="S48" s="221">
        <v>7</v>
      </c>
      <c r="T48" s="221">
        <v>7</v>
      </c>
      <c r="U48" s="221">
        <v>5</v>
      </c>
      <c r="V48" s="221">
        <v>5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7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17.8</v>
      </c>
      <c r="C49" s="245">
        <v>17.8</v>
      </c>
      <c r="D49" s="245">
        <v>17.8</v>
      </c>
      <c r="E49" s="245">
        <v>17.8</v>
      </c>
      <c r="F49" s="245">
        <v>17.8</v>
      </c>
      <c r="G49" s="245">
        <v>17.8</v>
      </c>
      <c r="H49" s="245">
        <v>15.8</v>
      </c>
      <c r="I49" s="245">
        <v>15.8</v>
      </c>
      <c r="J49" s="245">
        <v>15.8</v>
      </c>
      <c r="K49" s="245">
        <v>15.8</v>
      </c>
      <c r="L49" s="245">
        <v>15.8</v>
      </c>
      <c r="M49" s="245">
        <v>17.7</v>
      </c>
      <c r="N49" s="221">
        <v>17.7</v>
      </c>
      <c r="O49" s="221">
        <v>17.7</v>
      </c>
      <c r="P49" s="221">
        <v>17.7</v>
      </c>
      <c r="Q49" s="221">
        <v>15.9</v>
      </c>
      <c r="R49" s="221">
        <v>15.9</v>
      </c>
      <c r="S49" s="221">
        <v>17</v>
      </c>
      <c r="T49" s="221">
        <v>17</v>
      </c>
      <c r="U49" s="221">
        <v>17</v>
      </c>
      <c r="V49" s="221">
        <v>17</v>
      </c>
      <c r="W49" s="221">
        <v>17</v>
      </c>
      <c r="X49" s="221">
        <v>17</v>
      </c>
      <c r="Y49" s="221">
        <v>17</v>
      </c>
      <c r="Z49" s="221">
        <v>17</v>
      </c>
      <c r="AA49" s="221">
        <v>17</v>
      </c>
      <c r="AB49" s="221">
        <v>17</v>
      </c>
      <c r="AC49" s="245">
        <v>17.600000000000001</v>
      </c>
      <c r="AD49" s="245">
        <v>17.600000000000001</v>
      </c>
      <c r="AE49" s="245">
        <v>17.600000000000001</v>
      </c>
      <c r="AF49" s="245">
        <v>17.600000000000001</v>
      </c>
      <c r="AG49" s="235">
        <v>24</v>
      </c>
      <c r="AH49" s="226">
        <f t="shared" si="2"/>
        <v>17.8</v>
      </c>
      <c r="AI49" s="227">
        <f t="shared" si="3"/>
        <v>15.8</v>
      </c>
      <c r="AK49" s="228"/>
    </row>
    <row r="50" spans="1:41" x14ac:dyDescent="0.25">
      <c r="A50" s="234" t="s">
        <v>58</v>
      </c>
      <c r="B50" s="245">
        <v>2.8</v>
      </c>
      <c r="C50" s="245">
        <v>2.8</v>
      </c>
      <c r="D50" s="245">
        <v>2.8</v>
      </c>
      <c r="E50" s="245">
        <v>2.8</v>
      </c>
      <c r="F50" s="245">
        <v>2.8</v>
      </c>
      <c r="G50" s="245">
        <v>2.8</v>
      </c>
      <c r="H50" s="245">
        <v>2.8</v>
      </c>
      <c r="I50" s="245">
        <v>2.8</v>
      </c>
      <c r="J50" s="245">
        <v>2.8</v>
      </c>
      <c r="K50" s="245">
        <v>2.8</v>
      </c>
      <c r="L50" s="245">
        <v>2.8</v>
      </c>
      <c r="M50" s="245">
        <v>2.8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2.8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4.8</v>
      </c>
      <c r="C51" s="245">
        <v>4.8</v>
      </c>
      <c r="D51" s="245">
        <v>4.8</v>
      </c>
      <c r="E51" s="245">
        <v>4.8</v>
      </c>
      <c r="F51" s="245">
        <v>4.8</v>
      </c>
      <c r="G51" s="245">
        <v>4.8</v>
      </c>
      <c r="H51" s="245">
        <v>10</v>
      </c>
      <c r="I51" s="245">
        <v>10</v>
      </c>
      <c r="J51" s="245">
        <v>10</v>
      </c>
      <c r="K51" s="245">
        <v>10</v>
      </c>
      <c r="L51" s="245">
        <v>10</v>
      </c>
      <c r="M51" s="245">
        <v>10</v>
      </c>
      <c r="N51" s="221">
        <v>13.6</v>
      </c>
      <c r="O51" s="221">
        <v>13.6</v>
      </c>
      <c r="P51" s="221">
        <v>13.6</v>
      </c>
      <c r="Q51" s="221">
        <v>13.6</v>
      </c>
      <c r="R51" s="221">
        <v>13.6</v>
      </c>
      <c r="S51" s="221">
        <v>13.6</v>
      </c>
      <c r="T51" s="221">
        <v>13.6</v>
      </c>
      <c r="U51" s="221">
        <v>13.6</v>
      </c>
      <c r="V51" s="221">
        <v>13.6</v>
      </c>
      <c r="W51" s="221">
        <v>13.6</v>
      </c>
      <c r="X51" s="221">
        <v>13.6</v>
      </c>
      <c r="Y51" s="221">
        <v>13.6</v>
      </c>
      <c r="Z51" s="221">
        <v>13.6</v>
      </c>
      <c r="AA51" s="221">
        <v>13.6</v>
      </c>
      <c r="AB51" s="221">
        <v>13.6</v>
      </c>
      <c r="AC51" s="245">
        <v>13.8</v>
      </c>
      <c r="AD51" s="245">
        <v>13.6</v>
      </c>
      <c r="AE51" s="245">
        <v>13.6</v>
      </c>
      <c r="AF51" s="245">
        <v>13.6</v>
      </c>
      <c r="AG51" s="235">
        <v>14.1</v>
      </c>
      <c r="AH51" s="226">
        <f t="shared" si="2"/>
        <v>13.8</v>
      </c>
      <c r="AI51" s="227">
        <f t="shared" si="3"/>
        <v>4.8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</v>
      </c>
      <c r="C52" s="245">
        <v>14</v>
      </c>
      <c r="D52" s="245">
        <v>14</v>
      </c>
      <c r="E52" s="245">
        <v>14</v>
      </c>
      <c r="F52" s="245">
        <v>14</v>
      </c>
      <c r="G52" s="245">
        <v>14</v>
      </c>
      <c r="H52" s="245">
        <v>14</v>
      </c>
      <c r="I52" s="245">
        <v>14</v>
      </c>
      <c r="J52" s="245">
        <v>14</v>
      </c>
      <c r="K52" s="245">
        <v>14</v>
      </c>
      <c r="L52" s="245">
        <v>14</v>
      </c>
      <c r="M52" s="245">
        <v>14</v>
      </c>
      <c r="N52" s="221">
        <v>14</v>
      </c>
      <c r="O52" s="221">
        <v>14</v>
      </c>
      <c r="P52" s="221">
        <v>14</v>
      </c>
      <c r="Q52" s="221">
        <v>14</v>
      </c>
      <c r="R52" s="221">
        <v>14</v>
      </c>
      <c r="S52" s="221">
        <v>14</v>
      </c>
      <c r="T52" s="221">
        <v>14</v>
      </c>
      <c r="U52" s="221">
        <v>14</v>
      </c>
      <c r="V52" s="221">
        <v>14</v>
      </c>
      <c r="W52" s="221">
        <v>14</v>
      </c>
      <c r="X52" s="221">
        <v>14</v>
      </c>
      <c r="Y52" s="221">
        <v>14</v>
      </c>
      <c r="Z52" s="221">
        <v>14</v>
      </c>
      <c r="AA52" s="221">
        <v>14</v>
      </c>
      <c r="AB52" s="221">
        <v>14</v>
      </c>
      <c r="AC52" s="245">
        <v>7.1</v>
      </c>
      <c r="AD52" s="245">
        <v>11.6</v>
      </c>
      <c r="AE52" s="245">
        <v>11.6</v>
      </c>
      <c r="AF52" s="245">
        <v>3</v>
      </c>
      <c r="AG52" s="235">
        <v>14</v>
      </c>
      <c r="AH52" s="226">
        <f t="shared" si="2"/>
        <v>14</v>
      </c>
      <c r="AI52" s="227">
        <f t="shared" si="3"/>
        <v>3</v>
      </c>
      <c r="AK52" s="228"/>
    </row>
    <row r="53" spans="1:41" x14ac:dyDescent="0.25">
      <c r="A53" s="234" t="s">
        <v>61</v>
      </c>
      <c r="B53" s="245">
        <v>6.3</v>
      </c>
      <c r="C53" s="245">
        <v>6.3</v>
      </c>
      <c r="D53" s="245">
        <v>6.3</v>
      </c>
      <c r="E53" s="245">
        <v>6.3</v>
      </c>
      <c r="F53" s="245">
        <v>6.3</v>
      </c>
      <c r="G53" s="245">
        <v>6.3</v>
      </c>
      <c r="H53" s="245">
        <v>6.3</v>
      </c>
      <c r="I53" s="245">
        <v>6.3</v>
      </c>
      <c r="J53" s="245">
        <v>6.3</v>
      </c>
      <c r="K53" s="245">
        <v>6.3</v>
      </c>
      <c r="L53" s="245">
        <v>6.3</v>
      </c>
      <c r="M53" s="245">
        <v>9</v>
      </c>
      <c r="N53" s="245">
        <v>9</v>
      </c>
      <c r="O53" s="245">
        <v>9</v>
      </c>
      <c r="P53" s="245">
        <v>9</v>
      </c>
      <c r="Q53" s="245">
        <v>9</v>
      </c>
      <c r="R53" s="245">
        <v>9</v>
      </c>
      <c r="S53" s="245">
        <v>9</v>
      </c>
      <c r="T53" s="245">
        <v>9</v>
      </c>
      <c r="U53" s="245">
        <v>9</v>
      </c>
      <c r="V53" s="245">
        <v>9</v>
      </c>
      <c r="W53" s="245">
        <v>9</v>
      </c>
      <c r="X53" s="245">
        <v>9</v>
      </c>
      <c r="Y53" s="245">
        <v>9</v>
      </c>
      <c r="Z53" s="245">
        <v>9</v>
      </c>
      <c r="AA53" s="245">
        <v>9</v>
      </c>
      <c r="AB53" s="245">
        <v>9</v>
      </c>
      <c r="AC53" s="245">
        <v>9</v>
      </c>
      <c r="AD53" s="245">
        <v>9</v>
      </c>
      <c r="AE53" s="245">
        <v>9</v>
      </c>
      <c r="AF53" s="245">
        <v>9</v>
      </c>
      <c r="AG53" s="235">
        <v>10.050000000000001</v>
      </c>
      <c r="AH53" s="226">
        <f t="shared" si="2"/>
        <v>9</v>
      </c>
      <c r="AI53" s="227">
        <f t="shared" si="3"/>
        <v>6.3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45">
        <v>6.2</v>
      </c>
      <c r="V54" s="245">
        <v>6.2</v>
      </c>
      <c r="W54" s="245">
        <v>6.2</v>
      </c>
      <c r="X54" s="245">
        <v>6.2</v>
      </c>
      <c r="Y54" s="245">
        <v>6.2</v>
      </c>
      <c r="Z54" s="245">
        <v>6.2</v>
      </c>
      <c r="AA54" s="245">
        <v>6.2</v>
      </c>
      <c r="AB54" s="245">
        <v>6.2</v>
      </c>
      <c r="AC54" s="245">
        <v>6.2</v>
      </c>
      <c r="AD54" s="245">
        <v>6.2</v>
      </c>
      <c r="AE54" s="245">
        <v>6.2</v>
      </c>
      <c r="AF54" s="245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425.84000000000003</v>
      </c>
      <c r="C56" s="241">
        <f t="shared" ref="C56:AG56" si="7">SUM(C43:C55)</f>
        <v>425.84000000000003</v>
      </c>
      <c r="D56" s="241">
        <f t="shared" si="7"/>
        <v>425.84000000000003</v>
      </c>
      <c r="E56" s="241">
        <f t="shared" si="7"/>
        <v>425.84000000000003</v>
      </c>
      <c r="F56" s="241">
        <f t="shared" si="7"/>
        <v>425.84000000000003</v>
      </c>
      <c r="G56" s="241">
        <f t="shared" si="7"/>
        <v>422.24</v>
      </c>
      <c r="H56" s="241">
        <f t="shared" si="7"/>
        <v>425.44</v>
      </c>
      <c r="I56" s="241">
        <f t="shared" si="7"/>
        <v>425.44</v>
      </c>
      <c r="J56" s="241">
        <f t="shared" si="7"/>
        <v>425.44</v>
      </c>
      <c r="K56" s="241">
        <f t="shared" si="7"/>
        <v>425.44</v>
      </c>
      <c r="L56" s="241">
        <f t="shared" si="7"/>
        <v>425.44</v>
      </c>
      <c r="M56" s="241">
        <f t="shared" si="7"/>
        <v>436.84</v>
      </c>
      <c r="N56" s="241">
        <f t="shared" si="7"/>
        <v>441.74</v>
      </c>
      <c r="O56" s="241">
        <f t="shared" si="7"/>
        <v>442.74</v>
      </c>
      <c r="P56" s="241">
        <f t="shared" si="7"/>
        <v>442.84000000000003</v>
      </c>
      <c r="Q56" s="241">
        <f t="shared" si="7"/>
        <v>441.94</v>
      </c>
      <c r="R56" s="241">
        <f t="shared" si="7"/>
        <v>443.14</v>
      </c>
      <c r="S56" s="241">
        <f t="shared" si="7"/>
        <v>443.54</v>
      </c>
      <c r="T56" s="241">
        <f t="shared" si="7"/>
        <v>443.54000000000008</v>
      </c>
      <c r="U56" s="241">
        <f t="shared" si="7"/>
        <v>443.24000000000007</v>
      </c>
      <c r="V56" s="241">
        <f t="shared" si="7"/>
        <v>442.84000000000003</v>
      </c>
      <c r="W56" s="241">
        <f t="shared" si="7"/>
        <v>437.84000000000003</v>
      </c>
      <c r="X56" s="241">
        <f t="shared" si="7"/>
        <v>434.94000000000005</v>
      </c>
      <c r="Y56" s="241">
        <f t="shared" si="7"/>
        <v>434.94000000000005</v>
      </c>
      <c r="Z56" s="241">
        <f t="shared" si="7"/>
        <v>434.94000000000005</v>
      </c>
      <c r="AA56" s="241">
        <f t="shared" si="7"/>
        <v>434.94000000000005</v>
      </c>
      <c r="AB56" s="241">
        <f t="shared" si="7"/>
        <v>434.94000000000005</v>
      </c>
      <c r="AC56" s="241">
        <f t="shared" si="7"/>
        <v>428.44000000000005</v>
      </c>
      <c r="AD56" s="241">
        <f t="shared" si="7"/>
        <v>432.74000000000007</v>
      </c>
      <c r="AE56" s="241">
        <f t="shared" si="7"/>
        <v>432.74000000000007</v>
      </c>
      <c r="AF56" s="241">
        <f t="shared" si="7"/>
        <v>424.14000000000004</v>
      </c>
      <c r="AG56" s="242">
        <f t="shared" si="7"/>
        <v>489.91</v>
      </c>
      <c r="AH56" s="226">
        <f t="shared" si="2"/>
        <v>443.54000000000008</v>
      </c>
      <c r="AI56" s="227">
        <f t="shared" si="3"/>
        <v>422.24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15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20</v>
      </c>
      <c r="AA57" s="221">
        <v>10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20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6.3</v>
      </c>
      <c r="M58" s="245">
        <v>6.5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9</v>
      </c>
      <c r="AA58" s="245">
        <v>5.8</v>
      </c>
      <c r="AB58" s="245">
        <v>3.9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9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2.2999999999999998</v>
      </c>
      <c r="M59" s="247">
        <v>2.4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3.3</v>
      </c>
      <c r="AA59" s="247">
        <v>2.1</v>
      </c>
      <c r="AB59" s="247">
        <v>1.4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3.3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8">SUM(C57:C59)</f>
        <v>0</v>
      </c>
      <c r="D60" s="241">
        <f t="shared" si="8"/>
        <v>0</v>
      </c>
      <c r="E60" s="241">
        <f t="shared" si="8"/>
        <v>0</v>
      </c>
      <c r="F60" s="241">
        <f t="shared" si="8"/>
        <v>0</v>
      </c>
      <c r="G60" s="241">
        <f t="shared" si="8"/>
        <v>0</v>
      </c>
      <c r="H60" s="241">
        <f t="shared" si="8"/>
        <v>0</v>
      </c>
      <c r="I60" s="241">
        <f t="shared" si="8"/>
        <v>0</v>
      </c>
      <c r="J60" s="241">
        <f t="shared" si="8"/>
        <v>0</v>
      </c>
      <c r="K60" s="241">
        <f t="shared" si="8"/>
        <v>0</v>
      </c>
      <c r="L60" s="241">
        <f t="shared" si="8"/>
        <v>23.6</v>
      </c>
      <c r="M60" s="241">
        <f t="shared" si="8"/>
        <v>8.9</v>
      </c>
      <c r="N60" s="241">
        <f t="shared" si="8"/>
        <v>0</v>
      </c>
      <c r="O60" s="241">
        <f t="shared" si="8"/>
        <v>0</v>
      </c>
      <c r="P60" s="241">
        <f t="shared" si="8"/>
        <v>0</v>
      </c>
      <c r="Q60" s="241">
        <f t="shared" si="8"/>
        <v>0</v>
      </c>
      <c r="R60" s="241">
        <f t="shared" si="8"/>
        <v>0</v>
      </c>
      <c r="S60" s="241">
        <f t="shared" si="8"/>
        <v>0</v>
      </c>
      <c r="T60" s="241">
        <f t="shared" si="8"/>
        <v>0</v>
      </c>
      <c r="U60" s="241">
        <f t="shared" si="8"/>
        <v>0</v>
      </c>
      <c r="V60" s="241">
        <f t="shared" si="8"/>
        <v>0</v>
      </c>
      <c r="W60" s="241">
        <f t="shared" si="8"/>
        <v>0</v>
      </c>
      <c r="X60" s="241">
        <f t="shared" si="8"/>
        <v>0</v>
      </c>
      <c r="Y60" s="241">
        <f t="shared" si="8"/>
        <v>0</v>
      </c>
      <c r="Z60" s="241">
        <f t="shared" si="8"/>
        <v>32.299999999999997</v>
      </c>
      <c r="AA60" s="241">
        <f t="shared" si="8"/>
        <v>17.900000000000002</v>
      </c>
      <c r="AB60" s="241">
        <f t="shared" si="8"/>
        <v>5.3</v>
      </c>
      <c r="AC60" s="241">
        <f t="shared" si="8"/>
        <v>0</v>
      </c>
      <c r="AD60" s="241">
        <f t="shared" si="8"/>
        <v>0</v>
      </c>
      <c r="AE60" s="241">
        <f t="shared" si="8"/>
        <v>0</v>
      </c>
      <c r="AF60" s="241">
        <f t="shared" si="8"/>
        <v>0</v>
      </c>
      <c r="AG60" s="242">
        <f t="shared" si="8"/>
        <v>106</v>
      </c>
      <c r="AH60" s="226">
        <f t="shared" si="2"/>
        <v>32.299999999999997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38</v>
      </c>
      <c r="C61" s="221">
        <v>35</v>
      </c>
      <c r="D61" s="221">
        <v>17</v>
      </c>
      <c r="E61" s="221">
        <v>29</v>
      </c>
      <c r="F61" s="221">
        <v>10</v>
      </c>
      <c r="G61" s="221">
        <v>19</v>
      </c>
      <c r="H61" s="221">
        <v>14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8.6</v>
      </c>
      <c r="S61" s="221">
        <v>17.7</v>
      </c>
      <c r="T61" s="221">
        <v>16.399999999999999</v>
      </c>
      <c r="U61" s="221">
        <v>3</v>
      </c>
      <c r="V61" s="221">
        <v>0</v>
      </c>
      <c r="W61" s="221">
        <v>0</v>
      </c>
      <c r="X61" s="221">
        <v>7.9</v>
      </c>
      <c r="Y61" s="221">
        <v>15.7</v>
      </c>
      <c r="Z61" s="221">
        <v>29.1</v>
      </c>
      <c r="AA61" s="221">
        <v>22</v>
      </c>
      <c r="AB61" s="221">
        <v>31.2</v>
      </c>
      <c r="AC61" s="221">
        <v>39.700000000000003</v>
      </c>
      <c r="AD61" s="221">
        <v>40</v>
      </c>
      <c r="AE61" s="221">
        <v>25.8</v>
      </c>
      <c r="AF61" s="221">
        <v>11</v>
      </c>
      <c r="AG61" s="230"/>
      <c r="AH61" s="226">
        <f t="shared" si="2"/>
        <v>40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-374</v>
      </c>
      <c r="C63" s="245">
        <v>-390</v>
      </c>
      <c r="D63" s="245">
        <v>-406</v>
      </c>
      <c r="E63" s="245">
        <v>-410</v>
      </c>
      <c r="F63" s="245">
        <v>-419</v>
      </c>
      <c r="G63" s="245">
        <v>-397</v>
      </c>
      <c r="H63" s="245">
        <v>-416</v>
      </c>
      <c r="I63" s="245">
        <v>-300</v>
      </c>
      <c r="J63" s="245">
        <v>-416</v>
      </c>
      <c r="K63" s="245">
        <v>-375</v>
      </c>
      <c r="L63" s="245">
        <v>-370</v>
      </c>
      <c r="M63" s="245">
        <v>-400</v>
      </c>
      <c r="N63" s="245">
        <v>-388</v>
      </c>
      <c r="O63" s="245">
        <v>-387</v>
      </c>
      <c r="P63" s="245">
        <v>-378.2</v>
      </c>
      <c r="Q63" s="245">
        <v>-363.1</v>
      </c>
      <c r="R63" s="245">
        <v>-370.1</v>
      </c>
      <c r="S63" s="245">
        <v>-371</v>
      </c>
      <c r="T63" s="245">
        <v>-381</v>
      </c>
      <c r="U63" s="245">
        <v>-404</v>
      </c>
      <c r="V63" s="245">
        <v>-413</v>
      </c>
      <c r="W63" s="245">
        <v>-426</v>
      </c>
      <c r="X63" s="245">
        <v>-331</v>
      </c>
      <c r="Y63" s="245">
        <v>-295</v>
      </c>
      <c r="Z63" s="245">
        <v>-281</v>
      </c>
      <c r="AA63" s="245">
        <v>-338</v>
      </c>
      <c r="AB63" s="245">
        <v>-310</v>
      </c>
      <c r="AC63" s="245">
        <v>-317</v>
      </c>
      <c r="AD63" s="245">
        <v>-374</v>
      </c>
      <c r="AE63" s="245">
        <v>-412.3</v>
      </c>
      <c r="AF63" s="245">
        <v>-417</v>
      </c>
      <c r="AG63" s="255"/>
      <c r="AH63" s="226">
        <f t="shared" si="2"/>
        <v>-281</v>
      </c>
      <c r="AI63" s="227">
        <f t="shared" si="3"/>
        <v>-426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5</v>
      </c>
      <c r="G66" s="257">
        <v>5</v>
      </c>
      <c r="H66" s="257">
        <v>5</v>
      </c>
      <c r="I66" s="257">
        <v>5</v>
      </c>
      <c r="J66" s="257">
        <v>5</v>
      </c>
      <c r="K66" s="257">
        <v>5</v>
      </c>
      <c r="L66" s="257">
        <v>5</v>
      </c>
      <c r="M66" s="257">
        <v>5</v>
      </c>
      <c r="N66" s="257">
        <v>5</v>
      </c>
      <c r="O66" s="257">
        <v>5</v>
      </c>
      <c r="P66" s="257">
        <v>5</v>
      </c>
      <c r="Q66" s="257">
        <v>5</v>
      </c>
      <c r="R66" s="257">
        <v>5</v>
      </c>
      <c r="S66" s="257">
        <v>5</v>
      </c>
      <c r="T66" s="257">
        <v>5</v>
      </c>
      <c r="U66" s="257">
        <v>5</v>
      </c>
      <c r="V66" s="257">
        <v>5</v>
      </c>
      <c r="W66" s="257">
        <v>5</v>
      </c>
      <c r="X66" s="257">
        <v>5</v>
      </c>
      <c r="Y66" s="257">
        <v>5</v>
      </c>
      <c r="Z66" s="257">
        <v>5</v>
      </c>
      <c r="AA66" s="257">
        <v>5</v>
      </c>
      <c r="AB66" s="257">
        <v>5</v>
      </c>
      <c r="AC66" s="257">
        <v>5</v>
      </c>
      <c r="AD66" s="257">
        <v>5</v>
      </c>
      <c r="AE66" s="257">
        <v>5</v>
      </c>
      <c r="AF66" s="257">
        <v>5</v>
      </c>
      <c r="AG66" s="255"/>
      <c r="AH66" s="226">
        <f t="shared" si="2"/>
        <v>5</v>
      </c>
      <c r="AI66" s="227">
        <f t="shared" si="3"/>
        <v>5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7">
        <v>0</v>
      </c>
      <c r="T68" s="257">
        <v>0</v>
      </c>
      <c r="U68" s="257">
        <v>0</v>
      </c>
      <c r="V68" s="257">
        <v>0</v>
      </c>
      <c r="W68" s="257">
        <v>0</v>
      </c>
      <c r="X68" s="257">
        <v>0</v>
      </c>
      <c r="Y68" s="257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7">
        <v>0</v>
      </c>
      <c r="T69" s="257">
        <v>0</v>
      </c>
      <c r="U69" s="257">
        <v>0</v>
      </c>
      <c r="V69" s="257">
        <v>0</v>
      </c>
      <c r="W69" s="257">
        <v>0</v>
      </c>
      <c r="X69" s="257">
        <v>0</v>
      </c>
      <c r="Y69" s="257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7">
        <v>0</v>
      </c>
      <c r="T70" s="257">
        <v>0</v>
      </c>
      <c r="U70" s="257">
        <v>0</v>
      </c>
      <c r="V70" s="257">
        <v>0</v>
      </c>
      <c r="W70" s="257">
        <v>0</v>
      </c>
      <c r="X70" s="257">
        <v>0</v>
      </c>
      <c r="Y70" s="257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43</v>
      </c>
      <c r="C72" s="241">
        <f t="shared" ref="C72:L72" si="9">SUMIF(C61:C71,"&gt;0")</f>
        <v>40</v>
      </c>
      <c r="D72" s="241">
        <f t="shared" si="9"/>
        <v>22</v>
      </c>
      <c r="E72" s="241">
        <f t="shared" si="9"/>
        <v>34</v>
      </c>
      <c r="F72" s="241">
        <f t="shared" si="9"/>
        <v>15</v>
      </c>
      <c r="G72" s="241">
        <f t="shared" si="9"/>
        <v>24</v>
      </c>
      <c r="H72" s="241">
        <f t="shared" si="9"/>
        <v>19</v>
      </c>
      <c r="I72" s="241">
        <f t="shared" si="9"/>
        <v>5</v>
      </c>
      <c r="J72" s="241">
        <f t="shared" si="9"/>
        <v>5</v>
      </c>
      <c r="K72" s="241">
        <f t="shared" si="9"/>
        <v>5</v>
      </c>
      <c r="L72" s="241">
        <f t="shared" si="9"/>
        <v>5</v>
      </c>
      <c r="M72" s="241">
        <f>SUMIF(M61:M71,"&gt;0")</f>
        <v>5</v>
      </c>
      <c r="N72" s="241">
        <f t="shared" ref="N72:AF72" si="10">SUMIF(N61:N71,"&gt;0")</f>
        <v>5</v>
      </c>
      <c r="O72" s="241">
        <f t="shared" si="10"/>
        <v>5</v>
      </c>
      <c r="P72" s="241">
        <f t="shared" si="10"/>
        <v>5</v>
      </c>
      <c r="Q72" s="241">
        <f t="shared" si="10"/>
        <v>5</v>
      </c>
      <c r="R72" s="241">
        <f t="shared" si="10"/>
        <v>13.6</v>
      </c>
      <c r="S72" s="241">
        <f t="shared" si="10"/>
        <v>22.7</v>
      </c>
      <c r="T72" s="241">
        <f t="shared" si="10"/>
        <v>21.4</v>
      </c>
      <c r="U72" s="241">
        <f t="shared" si="10"/>
        <v>8</v>
      </c>
      <c r="V72" s="241">
        <f t="shared" si="10"/>
        <v>5</v>
      </c>
      <c r="W72" s="241">
        <f t="shared" si="10"/>
        <v>5</v>
      </c>
      <c r="X72" s="241">
        <f t="shared" si="10"/>
        <v>12.9</v>
      </c>
      <c r="Y72" s="241">
        <f t="shared" si="10"/>
        <v>20.7</v>
      </c>
      <c r="Z72" s="241">
        <f t="shared" si="10"/>
        <v>34.1</v>
      </c>
      <c r="AA72" s="241">
        <f t="shared" si="10"/>
        <v>27</v>
      </c>
      <c r="AB72" s="241">
        <f t="shared" si="10"/>
        <v>36.200000000000003</v>
      </c>
      <c r="AC72" s="241">
        <f t="shared" si="10"/>
        <v>44.7</v>
      </c>
      <c r="AD72" s="241">
        <f t="shared" si="10"/>
        <v>45</v>
      </c>
      <c r="AE72" s="241">
        <f t="shared" si="10"/>
        <v>30.8</v>
      </c>
      <c r="AF72" s="241">
        <f t="shared" si="10"/>
        <v>16</v>
      </c>
      <c r="AG72" s="261">
        <f>SUM(AG61:AG71)</f>
        <v>0</v>
      </c>
      <c r="AH72" s="226">
        <f t="shared" si="2"/>
        <v>45</v>
      </c>
      <c r="AI72" s="227">
        <f t="shared" si="3"/>
        <v>5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1817.6399999999999</v>
      </c>
      <c r="C77" s="263">
        <f t="shared" ref="C77:AF77" si="11">C38+C42+C60+C56+C72+C76</f>
        <v>1814.6399999999999</v>
      </c>
      <c r="D77" s="263">
        <f t="shared" si="11"/>
        <v>1791.6399999999999</v>
      </c>
      <c r="E77" s="263">
        <f t="shared" si="11"/>
        <v>1803.6399999999999</v>
      </c>
      <c r="F77" s="263">
        <f t="shared" si="11"/>
        <v>1784.6399999999999</v>
      </c>
      <c r="G77" s="263">
        <f t="shared" si="11"/>
        <v>1790.04</v>
      </c>
      <c r="H77" s="263">
        <f t="shared" si="11"/>
        <v>1796.24</v>
      </c>
      <c r="I77" s="263">
        <f t="shared" si="11"/>
        <v>1706.24</v>
      </c>
      <c r="J77" s="263">
        <f t="shared" si="11"/>
        <v>1799.24</v>
      </c>
      <c r="K77" s="263">
        <f t="shared" si="11"/>
        <v>1804.24</v>
      </c>
      <c r="L77" s="263">
        <f t="shared" si="11"/>
        <v>1827.84</v>
      </c>
      <c r="M77" s="263">
        <f t="shared" si="11"/>
        <v>1819.54</v>
      </c>
      <c r="N77" s="263">
        <f t="shared" si="11"/>
        <v>1817.54</v>
      </c>
      <c r="O77" s="263">
        <f t="shared" si="11"/>
        <v>1813.54</v>
      </c>
      <c r="P77" s="263">
        <f t="shared" si="11"/>
        <v>1812.6399999999999</v>
      </c>
      <c r="Q77" s="263">
        <f t="shared" si="11"/>
        <v>1814.74</v>
      </c>
      <c r="R77" s="263">
        <f t="shared" si="11"/>
        <v>1824.2399999999998</v>
      </c>
      <c r="S77" s="263">
        <f t="shared" si="11"/>
        <v>1812.94</v>
      </c>
      <c r="T77" s="263">
        <f t="shared" si="11"/>
        <v>1815.6400000000003</v>
      </c>
      <c r="U77" s="263">
        <f t="shared" si="11"/>
        <v>1801.94</v>
      </c>
      <c r="V77" s="263">
        <f t="shared" si="11"/>
        <v>1766.54</v>
      </c>
      <c r="W77" s="263">
        <f t="shared" si="11"/>
        <v>1756.54</v>
      </c>
      <c r="X77" s="263">
        <f t="shared" si="11"/>
        <v>1761.5400000000002</v>
      </c>
      <c r="Y77" s="263">
        <f t="shared" si="11"/>
        <v>1789.3400000000001</v>
      </c>
      <c r="Z77" s="263">
        <f t="shared" si="11"/>
        <v>1868.04</v>
      </c>
      <c r="AA77" s="263">
        <f t="shared" si="11"/>
        <v>1846.5400000000002</v>
      </c>
      <c r="AB77" s="263">
        <f t="shared" si="11"/>
        <v>1804.64</v>
      </c>
      <c r="AC77" s="263">
        <f t="shared" si="11"/>
        <v>1793.64</v>
      </c>
      <c r="AD77" s="263">
        <f t="shared" si="11"/>
        <v>1833.84</v>
      </c>
      <c r="AE77" s="263">
        <f t="shared" si="11"/>
        <v>1778.44</v>
      </c>
      <c r="AF77" s="263">
        <f t="shared" si="11"/>
        <v>1755.0400000000002</v>
      </c>
      <c r="AG77" s="242">
        <f>AG38+AG42+AG60+AG56+AG72+AG76</f>
        <v>1855.1900000000003</v>
      </c>
      <c r="AH77" s="226">
        <f t="shared" si="2"/>
        <v>1868.04</v>
      </c>
      <c r="AI77" s="227">
        <f t="shared" si="3"/>
        <v>1706.24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1817.6399999999999</v>
      </c>
      <c r="C79" s="263">
        <f t="shared" ref="C79:AF79" si="12">C77+C78</f>
        <v>1814.6399999999999</v>
      </c>
      <c r="D79" s="263">
        <f t="shared" si="12"/>
        <v>1791.6399999999999</v>
      </c>
      <c r="E79" s="263">
        <f t="shared" si="12"/>
        <v>1803.6399999999999</v>
      </c>
      <c r="F79" s="263">
        <f t="shared" si="12"/>
        <v>1784.6399999999999</v>
      </c>
      <c r="G79" s="263">
        <f t="shared" si="12"/>
        <v>1790.04</v>
      </c>
      <c r="H79" s="263">
        <f t="shared" si="12"/>
        <v>1796.24</v>
      </c>
      <c r="I79" s="263">
        <f t="shared" si="12"/>
        <v>1706.24</v>
      </c>
      <c r="J79" s="263">
        <f t="shared" si="12"/>
        <v>1799.24</v>
      </c>
      <c r="K79" s="263">
        <f t="shared" si="12"/>
        <v>1804.24</v>
      </c>
      <c r="L79" s="263">
        <f t="shared" si="12"/>
        <v>1827.84</v>
      </c>
      <c r="M79" s="263">
        <f t="shared" si="12"/>
        <v>1819.54</v>
      </c>
      <c r="N79" s="263">
        <f t="shared" si="12"/>
        <v>1817.54</v>
      </c>
      <c r="O79" s="263">
        <f t="shared" si="12"/>
        <v>1813.54</v>
      </c>
      <c r="P79" s="263">
        <f t="shared" si="12"/>
        <v>1812.6399999999999</v>
      </c>
      <c r="Q79" s="263">
        <f t="shared" si="12"/>
        <v>1814.74</v>
      </c>
      <c r="R79" s="263">
        <f t="shared" si="12"/>
        <v>1824.2399999999998</v>
      </c>
      <c r="S79" s="263">
        <f t="shared" si="12"/>
        <v>1812.94</v>
      </c>
      <c r="T79" s="263">
        <f t="shared" si="12"/>
        <v>1815.6400000000003</v>
      </c>
      <c r="U79" s="263">
        <f t="shared" si="12"/>
        <v>1801.94</v>
      </c>
      <c r="V79" s="263">
        <f t="shared" si="12"/>
        <v>1766.54</v>
      </c>
      <c r="W79" s="263">
        <f t="shared" si="12"/>
        <v>1756.54</v>
      </c>
      <c r="X79" s="263">
        <f t="shared" si="12"/>
        <v>1761.5400000000002</v>
      </c>
      <c r="Y79" s="263">
        <f t="shared" si="12"/>
        <v>1789.3400000000001</v>
      </c>
      <c r="Z79" s="263">
        <f t="shared" si="12"/>
        <v>1868.04</v>
      </c>
      <c r="AA79" s="263">
        <f t="shared" si="12"/>
        <v>1846.5400000000002</v>
      </c>
      <c r="AB79" s="263">
        <f t="shared" si="12"/>
        <v>1804.64</v>
      </c>
      <c r="AC79" s="263">
        <f t="shared" si="12"/>
        <v>1793.64</v>
      </c>
      <c r="AD79" s="263">
        <f t="shared" si="12"/>
        <v>1833.84</v>
      </c>
      <c r="AE79" s="263">
        <f t="shared" si="12"/>
        <v>1778.44</v>
      </c>
      <c r="AF79" s="263">
        <f t="shared" si="12"/>
        <v>1755.0400000000002</v>
      </c>
      <c r="AG79" s="261">
        <f>AG76+AG72+AG60+AG56+AG38+AG78</f>
        <v>1317.0900000000001</v>
      </c>
      <c r="AH79" s="226">
        <f t="shared" si="2"/>
        <v>1868.04</v>
      </c>
      <c r="AI79" s="227">
        <f t="shared" si="3"/>
        <v>1706.24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3">B79-B87</f>
        <v>1443.6399999999999</v>
      </c>
      <c r="C80" s="263">
        <f t="shared" si="13"/>
        <v>1424.6399999999999</v>
      </c>
      <c r="D80" s="263">
        <f t="shared" si="13"/>
        <v>1385.6399999999999</v>
      </c>
      <c r="E80" s="263">
        <f t="shared" si="13"/>
        <v>1393.6399999999999</v>
      </c>
      <c r="F80" s="263">
        <f t="shared" si="13"/>
        <v>1365.6399999999999</v>
      </c>
      <c r="G80" s="263">
        <f t="shared" si="13"/>
        <v>1393.04</v>
      </c>
      <c r="H80" s="263">
        <f t="shared" si="13"/>
        <v>1380.24</v>
      </c>
      <c r="I80" s="263">
        <f t="shared" si="13"/>
        <v>1406.24</v>
      </c>
      <c r="J80" s="263">
        <f t="shared" si="13"/>
        <v>1383.24</v>
      </c>
      <c r="K80" s="263">
        <f t="shared" si="13"/>
        <v>1429.24</v>
      </c>
      <c r="L80" s="263">
        <f t="shared" si="13"/>
        <v>1457.84</v>
      </c>
      <c r="M80" s="263">
        <f t="shared" si="13"/>
        <v>1419.54</v>
      </c>
      <c r="N80" s="263">
        <f t="shared" si="13"/>
        <v>1429.54</v>
      </c>
      <c r="O80" s="263">
        <f t="shared" si="13"/>
        <v>1426.54</v>
      </c>
      <c r="P80" s="263">
        <f t="shared" si="13"/>
        <v>1434.4399999999998</v>
      </c>
      <c r="Q80" s="263">
        <f t="shared" si="13"/>
        <v>1451.6399999999999</v>
      </c>
      <c r="R80" s="263">
        <f t="shared" si="13"/>
        <v>1454.1399999999999</v>
      </c>
      <c r="S80" s="263">
        <f t="shared" si="13"/>
        <v>1441.94</v>
      </c>
      <c r="T80" s="263">
        <f t="shared" si="13"/>
        <v>1434.6400000000003</v>
      </c>
      <c r="U80" s="263">
        <f t="shared" si="13"/>
        <v>1397.94</v>
      </c>
      <c r="V80" s="263">
        <f t="shared" si="13"/>
        <v>1353.54</v>
      </c>
      <c r="W80" s="263">
        <f t="shared" si="13"/>
        <v>1330.54</v>
      </c>
      <c r="X80" s="263">
        <f t="shared" si="13"/>
        <v>1430.5400000000002</v>
      </c>
      <c r="Y80" s="263">
        <f t="shared" si="13"/>
        <v>1494.3400000000001</v>
      </c>
      <c r="Z80" s="263">
        <f t="shared" si="13"/>
        <v>1587.04</v>
      </c>
      <c r="AA80" s="263">
        <f t="shared" si="13"/>
        <v>1508.5400000000002</v>
      </c>
      <c r="AB80" s="263">
        <f t="shared" si="13"/>
        <v>1494.64</v>
      </c>
      <c r="AC80" s="263">
        <f t="shared" si="13"/>
        <v>1476.64</v>
      </c>
      <c r="AD80" s="263">
        <f t="shared" si="13"/>
        <v>1459.84</v>
      </c>
      <c r="AE80" s="263">
        <f t="shared" si="13"/>
        <v>1366.14</v>
      </c>
      <c r="AF80" s="263">
        <f t="shared" si="13"/>
        <v>1338.0400000000002</v>
      </c>
      <c r="AG80" s="261"/>
      <c r="AH80" s="226">
        <f t="shared" ref="AH80:AH97" si="14">MAX(B80:AF80)</f>
        <v>1587.04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5">IF(C64&lt;0,C64*-1,0)</f>
        <v>0</v>
      </c>
      <c r="D81" s="256">
        <f t="shared" si="15"/>
        <v>0</v>
      </c>
      <c r="E81" s="256">
        <f t="shared" si="15"/>
        <v>0</v>
      </c>
      <c r="F81" s="256">
        <f t="shared" si="15"/>
        <v>0</v>
      </c>
      <c r="G81" s="256">
        <f t="shared" si="15"/>
        <v>0</v>
      </c>
      <c r="H81" s="256">
        <f t="shared" si="15"/>
        <v>0</v>
      </c>
      <c r="I81" s="256">
        <f t="shared" si="15"/>
        <v>0</v>
      </c>
      <c r="J81" s="256">
        <f t="shared" si="15"/>
        <v>0</v>
      </c>
      <c r="K81" s="256">
        <f t="shared" si="15"/>
        <v>0</v>
      </c>
      <c r="L81" s="256">
        <f t="shared" si="15"/>
        <v>0</v>
      </c>
      <c r="M81" s="256">
        <f t="shared" si="15"/>
        <v>0</v>
      </c>
      <c r="N81" s="256">
        <f t="shared" si="15"/>
        <v>0</v>
      </c>
      <c r="O81" s="256">
        <f t="shared" si="15"/>
        <v>0</v>
      </c>
      <c r="P81" s="256">
        <f t="shared" si="15"/>
        <v>0</v>
      </c>
      <c r="Q81" s="256">
        <f t="shared" si="15"/>
        <v>0</v>
      </c>
      <c r="R81" s="256">
        <f t="shared" si="15"/>
        <v>0</v>
      </c>
      <c r="S81" s="256">
        <f t="shared" si="15"/>
        <v>0</v>
      </c>
      <c r="T81" s="256">
        <f t="shared" si="15"/>
        <v>0</v>
      </c>
      <c r="U81" s="256">
        <f t="shared" si="15"/>
        <v>0</v>
      </c>
      <c r="V81" s="256">
        <f t="shared" si="15"/>
        <v>0</v>
      </c>
      <c r="W81" s="256">
        <f t="shared" si="15"/>
        <v>0</v>
      </c>
      <c r="X81" s="256">
        <f t="shared" si="15"/>
        <v>0</v>
      </c>
      <c r="Y81" s="256">
        <f t="shared" si="15"/>
        <v>0</v>
      </c>
      <c r="Z81" s="256">
        <f t="shared" si="15"/>
        <v>0</v>
      </c>
      <c r="AA81" s="256">
        <f t="shared" si="15"/>
        <v>0</v>
      </c>
      <c r="AB81" s="256">
        <f t="shared" si="15"/>
        <v>0</v>
      </c>
      <c r="AC81" s="256">
        <f t="shared" si="15"/>
        <v>0</v>
      </c>
      <c r="AD81" s="256">
        <f t="shared" si="15"/>
        <v>0</v>
      </c>
      <c r="AE81" s="256">
        <f t="shared" si="15"/>
        <v>0</v>
      </c>
      <c r="AF81" s="256">
        <f t="shared" si="15"/>
        <v>0</v>
      </c>
      <c r="AG81" s="230"/>
      <c r="AH81" s="226">
        <f t="shared" si="14"/>
        <v>0</v>
      </c>
      <c r="AI81" s="227">
        <f t="shared" ref="AI81:AI97" si="1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7">IF(C62&lt;0,C62*-1,0)</f>
        <v>0</v>
      </c>
      <c r="D82" s="256">
        <f t="shared" si="17"/>
        <v>0</v>
      </c>
      <c r="E82" s="256">
        <f t="shared" si="17"/>
        <v>0</v>
      </c>
      <c r="F82" s="256">
        <f t="shared" si="17"/>
        <v>0</v>
      </c>
      <c r="G82" s="256">
        <f t="shared" si="17"/>
        <v>0</v>
      </c>
      <c r="H82" s="256">
        <f t="shared" si="17"/>
        <v>0</v>
      </c>
      <c r="I82" s="256">
        <f t="shared" si="17"/>
        <v>0</v>
      </c>
      <c r="J82" s="256">
        <f t="shared" si="17"/>
        <v>0</v>
      </c>
      <c r="K82" s="256">
        <f t="shared" si="17"/>
        <v>0</v>
      </c>
      <c r="L82" s="256">
        <f t="shared" si="17"/>
        <v>0</v>
      </c>
      <c r="M82" s="256">
        <f t="shared" si="17"/>
        <v>0</v>
      </c>
      <c r="N82" s="256">
        <f t="shared" si="17"/>
        <v>0</v>
      </c>
      <c r="O82" s="256">
        <f t="shared" si="17"/>
        <v>0</v>
      </c>
      <c r="P82" s="256">
        <f t="shared" si="17"/>
        <v>0</v>
      </c>
      <c r="Q82" s="256">
        <f t="shared" si="17"/>
        <v>0</v>
      </c>
      <c r="R82" s="256">
        <f t="shared" si="17"/>
        <v>0</v>
      </c>
      <c r="S82" s="256">
        <f t="shared" si="17"/>
        <v>0</v>
      </c>
      <c r="T82" s="256">
        <f t="shared" si="17"/>
        <v>0</v>
      </c>
      <c r="U82" s="256">
        <f t="shared" si="17"/>
        <v>0</v>
      </c>
      <c r="V82" s="256">
        <f t="shared" si="17"/>
        <v>0</v>
      </c>
      <c r="W82" s="256">
        <f t="shared" si="17"/>
        <v>0</v>
      </c>
      <c r="X82" s="256">
        <f t="shared" si="17"/>
        <v>0</v>
      </c>
      <c r="Y82" s="256">
        <f t="shared" si="17"/>
        <v>0</v>
      </c>
      <c r="Z82" s="256">
        <f t="shared" si="17"/>
        <v>0</v>
      </c>
      <c r="AA82" s="256">
        <f t="shared" si="17"/>
        <v>0</v>
      </c>
      <c r="AB82" s="256">
        <f t="shared" si="17"/>
        <v>0</v>
      </c>
      <c r="AC82" s="256">
        <f t="shared" si="17"/>
        <v>0</v>
      </c>
      <c r="AD82" s="256">
        <f t="shared" si="17"/>
        <v>0</v>
      </c>
      <c r="AE82" s="256">
        <f t="shared" si="17"/>
        <v>0</v>
      </c>
      <c r="AF82" s="256">
        <f t="shared" si="17"/>
        <v>0</v>
      </c>
      <c r="AG82" s="235"/>
      <c r="AH82" s="226">
        <f t="shared" si="14"/>
        <v>0</v>
      </c>
      <c r="AI82" s="227">
        <f t="shared" si="1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8">IF(C65&lt;0,C65*-1,0)</f>
        <v>0</v>
      </c>
      <c r="D83" s="256">
        <f t="shared" si="18"/>
        <v>0</v>
      </c>
      <c r="E83" s="256">
        <f t="shared" si="18"/>
        <v>0</v>
      </c>
      <c r="F83" s="256">
        <f t="shared" si="18"/>
        <v>0</v>
      </c>
      <c r="G83" s="256">
        <f t="shared" si="18"/>
        <v>0</v>
      </c>
      <c r="H83" s="256">
        <f t="shared" si="18"/>
        <v>0</v>
      </c>
      <c r="I83" s="256">
        <f t="shared" si="18"/>
        <v>0</v>
      </c>
      <c r="J83" s="256">
        <f t="shared" si="18"/>
        <v>0</v>
      </c>
      <c r="K83" s="256">
        <f t="shared" si="18"/>
        <v>0</v>
      </c>
      <c r="L83" s="256">
        <f t="shared" si="18"/>
        <v>0</v>
      </c>
      <c r="M83" s="256">
        <f t="shared" si="18"/>
        <v>0</v>
      </c>
      <c r="N83" s="256">
        <f t="shared" si="18"/>
        <v>0</v>
      </c>
      <c r="O83" s="256">
        <f t="shared" si="18"/>
        <v>0</v>
      </c>
      <c r="P83" s="256">
        <f t="shared" si="18"/>
        <v>0</v>
      </c>
      <c r="Q83" s="256">
        <f t="shared" si="18"/>
        <v>0</v>
      </c>
      <c r="R83" s="256">
        <f t="shared" si="18"/>
        <v>0</v>
      </c>
      <c r="S83" s="256">
        <f t="shared" si="18"/>
        <v>0</v>
      </c>
      <c r="T83" s="256">
        <f t="shared" si="18"/>
        <v>0</v>
      </c>
      <c r="U83" s="256">
        <f t="shared" si="18"/>
        <v>0</v>
      </c>
      <c r="V83" s="256">
        <f t="shared" si="18"/>
        <v>0</v>
      </c>
      <c r="W83" s="256">
        <f t="shared" si="18"/>
        <v>0</v>
      </c>
      <c r="X83" s="256">
        <f t="shared" si="18"/>
        <v>0</v>
      </c>
      <c r="Y83" s="256">
        <f t="shared" si="18"/>
        <v>0</v>
      </c>
      <c r="Z83" s="256">
        <f t="shared" si="18"/>
        <v>0</v>
      </c>
      <c r="AA83" s="256">
        <f t="shared" si="18"/>
        <v>0</v>
      </c>
      <c r="AB83" s="256">
        <f t="shared" si="18"/>
        <v>0</v>
      </c>
      <c r="AC83" s="256">
        <f t="shared" si="18"/>
        <v>0</v>
      </c>
      <c r="AD83" s="256">
        <f t="shared" si="18"/>
        <v>0</v>
      </c>
      <c r="AE83" s="256">
        <f t="shared" si="18"/>
        <v>0</v>
      </c>
      <c r="AF83" s="256">
        <f t="shared" si="18"/>
        <v>0</v>
      </c>
      <c r="AG83" s="266"/>
      <c r="AH83" s="226">
        <f t="shared" si="14"/>
        <v>0</v>
      </c>
      <c r="AI83" s="227">
        <f t="shared" si="1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374</v>
      </c>
      <c r="C84" s="256">
        <f t="shared" ref="C84:AF84" si="19">IF(C63&lt;0,C63*-1,0)</f>
        <v>390</v>
      </c>
      <c r="D84" s="256">
        <f t="shared" si="19"/>
        <v>406</v>
      </c>
      <c r="E84" s="256">
        <f t="shared" si="19"/>
        <v>410</v>
      </c>
      <c r="F84" s="256">
        <f t="shared" si="19"/>
        <v>419</v>
      </c>
      <c r="G84" s="256">
        <f t="shared" si="19"/>
        <v>397</v>
      </c>
      <c r="H84" s="256">
        <f t="shared" si="19"/>
        <v>416</v>
      </c>
      <c r="I84" s="256">
        <f t="shared" si="19"/>
        <v>300</v>
      </c>
      <c r="J84" s="256">
        <f t="shared" si="19"/>
        <v>416</v>
      </c>
      <c r="K84" s="256">
        <f t="shared" si="19"/>
        <v>375</v>
      </c>
      <c r="L84" s="256">
        <f t="shared" si="19"/>
        <v>370</v>
      </c>
      <c r="M84" s="256">
        <f t="shared" si="19"/>
        <v>400</v>
      </c>
      <c r="N84" s="256">
        <f t="shared" si="19"/>
        <v>388</v>
      </c>
      <c r="O84" s="256">
        <f t="shared" si="19"/>
        <v>387</v>
      </c>
      <c r="P84" s="256">
        <f t="shared" si="19"/>
        <v>378.2</v>
      </c>
      <c r="Q84" s="256">
        <f t="shared" si="19"/>
        <v>363.1</v>
      </c>
      <c r="R84" s="256">
        <f t="shared" si="19"/>
        <v>370.1</v>
      </c>
      <c r="S84" s="256">
        <f t="shared" si="19"/>
        <v>371</v>
      </c>
      <c r="T84" s="256">
        <f t="shared" si="19"/>
        <v>381</v>
      </c>
      <c r="U84" s="256">
        <f t="shared" si="19"/>
        <v>404</v>
      </c>
      <c r="V84" s="256">
        <f t="shared" si="19"/>
        <v>413</v>
      </c>
      <c r="W84" s="256">
        <f t="shared" si="19"/>
        <v>426</v>
      </c>
      <c r="X84" s="256">
        <f t="shared" si="19"/>
        <v>331</v>
      </c>
      <c r="Y84" s="256">
        <f t="shared" si="19"/>
        <v>295</v>
      </c>
      <c r="Z84" s="256">
        <f t="shared" si="19"/>
        <v>281</v>
      </c>
      <c r="AA84" s="256">
        <f t="shared" si="19"/>
        <v>338</v>
      </c>
      <c r="AB84" s="256">
        <f t="shared" si="19"/>
        <v>310</v>
      </c>
      <c r="AC84" s="256">
        <f t="shared" si="19"/>
        <v>317</v>
      </c>
      <c r="AD84" s="256">
        <f t="shared" si="19"/>
        <v>374</v>
      </c>
      <c r="AE84" s="256">
        <f t="shared" si="19"/>
        <v>412.3</v>
      </c>
      <c r="AF84" s="256">
        <f t="shared" si="19"/>
        <v>417</v>
      </c>
      <c r="AG84" s="266"/>
      <c r="AH84" s="226">
        <f t="shared" si="14"/>
        <v>426</v>
      </c>
      <c r="AI84" s="227">
        <f t="shared" si="16"/>
        <v>281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0">IF(C61&lt;0,C61*-1,0)</f>
        <v>0</v>
      </c>
      <c r="D85" s="256">
        <f t="shared" si="20"/>
        <v>0</v>
      </c>
      <c r="E85" s="256">
        <f t="shared" si="20"/>
        <v>0</v>
      </c>
      <c r="F85" s="256">
        <f t="shared" si="20"/>
        <v>0</v>
      </c>
      <c r="G85" s="256">
        <f t="shared" si="20"/>
        <v>0</v>
      </c>
      <c r="H85" s="256">
        <f t="shared" si="20"/>
        <v>0</v>
      </c>
      <c r="I85" s="256">
        <f t="shared" si="20"/>
        <v>0</v>
      </c>
      <c r="J85" s="256">
        <f t="shared" si="20"/>
        <v>0</v>
      </c>
      <c r="K85" s="256">
        <f t="shared" si="20"/>
        <v>0</v>
      </c>
      <c r="L85" s="256">
        <f t="shared" si="20"/>
        <v>0</v>
      </c>
      <c r="M85" s="256">
        <f t="shared" si="20"/>
        <v>0</v>
      </c>
      <c r="N85" s="256">
        <f t="shared" si="20"/>
        <v>0</v>
      </c>
      <c r="O85" s="256">
        <f t="shared" si="20"/>
        <v>0</v>
      </c>
      <c r="P85" s="256">
        <f t="shared" si="20"/>
        <v>0</v>
      </c>
      <c r="Q85" s="256">
        <f t="shared" si="20"/>
        <v>0</v>
      </c>
      <c r="R85" s="256">
        <f t="shared" si="20"/>
        <v>0</v>
      </c>
      <c r="S85" s="256">
        <f t="shared" si="20"/>
        <v>0</v>
      </c>
      <c r="T85" s="256">
        <f t="shared" si="20"/>
        <v>0</v>
      </c>
      <c r="U85" s="256">
        <f t="shared" si="20"/>
        <v>0</v>
      </c>
      <c r="V85" s="256">
        <f t="shared" si="20"/>
        <v>0</v>
      </c>
      <c r="W85" s="256">
        <f t="shared" si="20"/>
        <v>0</v>
      </c>
      <c r="X85" s="256">
        <f t="shared" si="20"/>
        <v>0</v>
      </c>
      <c r="Y85" s="256">
        <f t="shared" si="20"/>
        <v>0</v>
      </c>
      <c r="Z85" s="256">
        <f t="shared" si="20"/>
        <v>0</v>
      </c>
      <c r="AA85" s="256">
        <f t="shared" si="20"/>
        <v>0</v>
      </c>
      <c r="AB85" s="256">
        <f t="shared" si="20"/>
        <v>0</v>
      </c>
      <c r="AC85" s="256">
        <f t="shared" si="20"/>
        <v>0</v>
      </c>
      <c r="AD85" s="256">
        <f t="shared" si="20"/>
        <v>0</v>
      </c>
      <c r="AE85" s="256">
        <f t="shared" si="20"/>
        <v>0</v>
      </c>
      <c r="AF85" s="256">
        <f t="shared" si="20"/>
        <v>0</v>
      </c>
      <c r="AG85" s="266"/>
      <c r="AH85" s="226">
        <f t="shared" si="14"/>
        <v>0</v>
      </c>
      <c r="AI85" s="227">
        <f t="shared" si="1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4"/>
        <v>0</v>
      </c>
      <c r="AI86" s="227">
        <f t="shared" si="1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374</v>
      </c>
      <c r="C87" s="241">
        <f t="shared" ref="C87:AF87" si="21">SUM(C81:C86)</f>
        <v>390</v>
      </c>
      <c r="D87" s="241">
        <f t="shared" si="21"/>
        <v>406</v>
      </c>
      <c r="E87" s="241">
        <f t="shared" si="21"/>
        <v>410</v>
      </c>
      <c r="F87" s="241">
        <f t="shared" si="21"/>
        <v>419</v>
      </c>
      <c r="G87" s="241">
        <f t="shared" si="21"/>
        <v>397</v>
      </c>
      <c r="H87" s="241">
        <f t="shared" si="21"/>
        <v>416</v>
      </c>
      <c r="I87" s="241">
        <f t="shared" si="21"/>
        <v>300</v>
      </c>
      <c r="J87" s="241">
        <f t="shared" si="21"/>
        <v>416</v>
      </c>
      <c r="K87" s="241">
        <f t="shared" si="21"/>
        <v>375</v>
      </c>
      <c r="L87" s="241">
        <f t="shared" si="21"/>
        <v>370</v>
      </c>
      <c r="M87" s="241">
        <f t="shared" si="21"/>
        <v>400</v>
      </c>
      <c r="N87" s="241">
        <f t="shared" si="21"/>
        <v>388</v>
      </c>
      <c r="O87" s="241">
        <f t="shared" si="21"/>
        <v>387</v>
      </c>
      <c r="P87" s="241">
        <f t="shared" si="21"/>
        <v>378.2</v>
      </c>
      <c r="Q87" s="241">
        <f t="shared" si="21"/>
        <v>363.1</v>
      </c>
      <c r="R87" s="241">
        <f t="shared" si="21"/>
        <v>370.1</v>
      </c>
      <c r="S87" s="241">
        <f t="shared" si="21"/>
        <v>371</v>
      </c>
      <c r="T87" s="241">
        <f t="shared" si="21"/>
        <v>381</v>
      </c>
      <c r="U87" s="241">
        <f t="shared" si="21"/>
        <v>404</v>
      </c>
      <c r="V87" s="241">
        <f t="shared" si="21"/>
        <v>413</v>
      </c>
      <c r="W87" s="241">
        <f t="shared" si="21"/>
        <v>426</v>
      </c>
      <c r="X87" s="241">
        <f t="shared" si="21"/>
        <v>331</v>
      </c>
      <c r="Y87" s="241">
        <f t="shared" si="21"/>
        <v>295</v>
      </c>
      <c r="Z87" s="241">
        <f t="shared" si="21"/>
        <v>281</v>
      </c>
      <c r="AA87" s="241">
        <f t="shared" si="21"/>
        <v>338</v>
      </c>
      <c r="AB87" s="241">
        <f t="shared" si="21"/>
        <v>310</v>
      </c>
      <c r="AC87" s="241">
        <f t="shared" si="21"/>
        <v>317</v>
      </c>
      <c r="AD87" s="241">
        <f t="shared" si="21"/>
        <v>374</v>
      </c>
      <c r="AE87" s="241">
        <f t="shared" si="21"/>
        <v>412.3</v>
      </c>
      <c r="AF87" s="241">
        <f t="shared" si="21"/>
        <v>417</v>
      </c>
      <c r="AG87" s="261"/>
      <c r="AH87" s="226">
        <f t="shared" si="14"/>
        <v>426</v>
      </c>
      <c r="AI87" s="227">
        <f t="shared" si="16"/>
        <v>281</v>
      </c>
      <c r="AK87" s="228"/>
    </row>
    <row r="88" spans="1:88" s="175" customFormat="1" ht="15.75" thickBot="1" x14ac:dyDescent="0.3">
      <c r="A88" s="254" t="s">
        <v>93</v>
      </c>
      <c r="B88" s="241">
        <f>B72-B87</f>
        <v>-331</v>
      </c>
      <c r="C88" s="241">
        <f t="shared" ref="C88:AF88" si="22">C72-C87</f>
        <v>-350</v>
      </c>
      <c r="D88" s="241">
        <f t="shared" si="22"/>
        <v>-384</v>
      </c>
      <c r="E88" s="241">
        <f t="shared" si="22"/>
        <v>-376</v>
      </c>
      <c r="F88" s="241">
        <f t="shared" si="22"/>
        <v>-404</v>
      </c>
      <c r="G88" s="241">
        <f t="shared" si="22"/>
        <v>-373</v>
      </c>
      <c r="H88" s="241">
        <f t="shared" si="22"/>
        <v>-397</v>
      </c>
      <c r="I88" s="241">
        <f t="shared" si="22"/>
        <v>-295</v>
      </c>
      <c r="J88" s="241">
        <f t="shared" si="22"/>
        <v>-411</v>
      </c>
      <c r="K88" s="241">
        <f t="shared" si="22"/>
        <v>-370</v>
      </c>
      <c r="L88" s="241">
        <f t="shared" si="22"/>
        <v>-365</v>
      </c>
      <c r="M88" s="241">
        <f t="shared" si="22"/>
        <v>-395</v>
      </c>
      <c r="N88" s="241">
        <f t="shared" si="22"/>
        <v>-383</v>
      </c>
      <c r="O88" s="241">
        <f t="shared" si="22"/>
        <v>-382</v>
      </c>
      <c r="P88" s="241">
        <f t="shared" si="22"/>
        <v>-373.2</v>
      </c>
      <c r="Q88" s="241">
        <f t="shared" si="22"/>
        <v>-358.1</v>
      </c>
      <c r="R88" s="241">
        <f t="shared" si="22"/>
        <v>-356.5</v>
      </c>
      <c r="S88" s="241">
        <f t="shared" si="22"/>
        <v>-348.3</v>
      </c>
      <c r="T88" s="241">
        <f t="shared" si="22"/>
        <v>-359.6</v>
      </c>
      <c r="U88" s="241">
        <f t="shared" si="22"/>
        <v>-396</v>
      </c>
      <c r="V88" s="241">
        <f t="shared" si="22"/>
        <v>-408</v>
      </c>
      <c r="W88" s="241">
        <f t="shared" si="22"/>
        <v>-421</v>
      </c>
      <c r="X88" s="241">
        <f t="shared" si="22"/>
        <v>-318.10000000000002</v>
      </c>
      <c r="Y88" s="241">
        <f t="shared" si="22"/>
        <v>-274.3</v>
      </c>
      <c r="Z88" s="241">
        <f t="shared" si="22"/>
        <v>-246.9</v>
      </c>
      <c r="AA88" s="241">
        <f t="shared" si="22"/>
        <v>-311</v>
      </c>
      <c r="AB88" s="241">
        <f t="shared" si="22"/>
        <v>-273.8</v>
      </c>
      <c r="AC88" s="241">
        <f t="shared" si="22"/>
        <v>-272.3</v>
      </c>
      <c r="AD88" s="241">
        <f t="shared" si="22"/>
        <v>-329</v>
      </c>
      <c r="AE88" s="241">
        <f t="shared" si="22"/>
        <v>-381.5</v>
      </c>
      <c r="AF88" s="241">
        <f t="shared" si="22"/>
        <v>-401</v>
      </c>
      <c r="AG88" s="261"/>
      <c r="AH88" s="226">
        <f t="shared" si="14"/>
        <v>-246.9</v>
      </c>
      <c r="AI88" s="227">
        <f t="shared" si="16"/>
        <v>-421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50.01</v>
      </c>
      <c r="C89" s="269">
        <v>50</v>
      </c>
      <c r="D89" s="269">
        <v>49.96</v>
      </c>
      <c r="E89" s="269">
        <v>49.96</v>
      </c>
      <c r="F89" s="269">
        <v>50.033999999999999</v>
      </c>
      <c r="G89" s="269">
        <v>50.033999999999999</v>
      </c>
      <c r="H89" s="269">
        <v>50.033999999999999</v>
      </c>
      <c r="I89" s="269">
        <v>50.033999999999999</v>
      </c>
      <c r="J89" s="269">
        <v>49.978000000000002</v>
      </c>
      <c r="K89" s="269">
        <v>50.012999999999998</v>
      </c>
      <c r="L89" s="269">
        <v>49.945</v>
      </c>
      <c r="M89" s="269">
        <v>50.027999999999999</v>
      </c>
      <c r="N89" s="269">
        <v>50.064999999999998</v>
      </c>
      <c r="O89" s="269">
        <v>50.07</v>
      </c>
      <c r="P89" s="269">
        <v>50.003</v>
      </c>
      <c r="Q89" s="269">
        <v>50.067999999999998</v>
      </c>
      <c r="R89" s="269">
        <v>49.875</v>
      </c>
      <c r="S89" s="269">
        <v>49.991</v>
      </c>
      <c r="T89" s="269">
        <v>49.945</v>
      </c>
      <c r="U89" s="269">
        <v>49.682000000000002</v>
      </c>
      <c r="V89" s="269">
        <v>49.887</v>
      </c>
      <c r="W89" s="269">
        <v>50.02</v>
      </c>
      <c r="X89" s="269">
        <v>50.021999999999998</v>
      </c>
      <c r="Y89" s="269">
        <v>50.05</v>
      </c>
      <c r="Z89" s="269">
        <v>49.920999999999999</v>
      </c>
      <c r="AA89" s="269">
        <v>49.920999999999999</v>
      </c>
      <c r="AB89" s="269">
        <v>50.026000000000003</v>
      </c>
      <c r="AC89" s="269">
        <v>50.05</v>
      </c>
      <c r="AD89" s="269">
        <v>50</v>
      </c>
      <c r="AE89" s="269">
        <v>50.055</v>
      </c>
      <c r="AF89" s="269">
        <v>50.055</v>
      </c>
      <c r="AG89" s="270"/>
      <c r="AH89" s="226">
        <f t="shared" si="14"/>
        <v>50.07</v>
      </c>
      <c r="AI89" s="227">
        <f t="shared" si="16"/>
        <v>49.682000000000002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</v>
      </c>
      <c r="C90" s="245">
        <v>124</v>
      </c>
      <c r="D90" s="245">
        <v>125</v>
      </c>
      <c r="E90" s="245">
        <v>125</v>
      </c>
      <c r="F90" s="245">
        <v>124</v>
      </c>
      <c r="G90" s="245">
        <v>124</v>
      </c>
      <c r="H90" s="245">
        <v>124</v>
      </c>
      <c r="I90" s="245">
        <v>124</v>
      </c>
      <c r="J90" s="245">
        <v>124</v>
      </c>
      <c r="K90" s="245">
        <v>124</v>
      </c>
      <c r="L90" s="245">
        <v>123</v>
      </c>
      <c r="M90" s="245">
        <v>124.1</v>
      </c>
      <c r="N90" s="245">
        <v>123.4</v>
      </c>
      <c r="O90" s="245">
        <v>123.7</v>
      </c>
      <c r="P90" s="245">
        <v>123.5</v>
      </c>
      <c r="Q90" s="245">
        <v>122.3</v>
      </c>
      <c r="R90" s="245">
        <v>122.8</v>
      </c>
      <c r="S90" s="245">
        <v>122.2</v>
      </c>
      <c r="T90" s="245">
        <v>122.9</v>
      </c>
      <c r="U90" s="245">
        <v>123.2</v>
      </c>
      <c r="V90" s="245">
        <v>124.8</v>
      </c>
      <c r="W90" s="245">
        <v>125.3</v>
      </c>
      <c r="X90" s="245">
        <v>124.6</v>
      </c>
      <c r="Y90" s="245">
        <v>125</v>
      </c>
      <c r="Z90" s="245">
        <v>125.2</v>
      </c>
      <c r="AA90" s="245">
        <v>125.2</v>
      </c>
      <c r="AB90" s="245">
        <v>126.5</v>
      </c>
      <c r="AC90" s="245">
        <v>125.4</v>
      </c>
      <c r="AD90" s="245">
        <v>123.8</v>
      </c>
      <c r="AE90" s="245">
        <v>124.9</v>
      </c>
      <c r="AF90" s="245">
        <v>124.9</v>
      </c>
      <c r="AG90" s="272"/>
      <c r="AH90" s="226">
        <f t="shared" si="14"/>
        <v>126.5</v>
      </c>
      <c r="AI90" s="227">
        <f t="shared" si="16"/>
        <v>122.2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129</v>
      </c>
      <c r="C91" s="245">
        <v>129</v>
      </c>
      <c r="D91" s="245">
        <v>130</v>
      </c>
      <c r="E91" s="245">
        <v>130</v>
      </c>
      <c r="F91" s="245">
        <v>129</v>
      </c>
      <c r="G91" s="245">
        <v>129</v>
      </c>
      <c r="H91" s="245">
        <v>129</v>
      </c>
      <c r="I91" s="245">
        <v>129</v>
      </c>
      <c r="J91" s="245">
        <v>129</v>
      </c>
      <c r="K91" s="245">
        <v>129</v>
      </c>
      <c r="L91" s="245">
        <v>127</v>
      </c>
      <c r="M91" s="245">
        <v>127.8</v>
      </c>
      <c r="N91" s="245">
        <v>127</v>
      </c>
      <c r="O91" s="245">
        <v>127.1</v>
      </c>
      <c r="P91" s="245">
        <v>126.8</v>
      </c>
      <c r="Q91" s="245">
        <v>125.7</v>
      </c>
      <c r="R91" s="245">
        <v>126.4</v>
      </c>
      <c r="S91" s="245">
        <v>126.2</v>
      </c>
      <c r="T91" s="245">
        <v>126.5</v>
      </c>
      <c r="U91" s="245">
        <v>127.2</v>
      </c>
      <c r="V91" s="245">
        <v>128.30000000000001</v>
      </c>
      <c r="W91" s="245">
        <v>128.4</v>
      </c>
      <c r="X91" s="245">
        <v>128</v>
      </c>
      <c r="Y91" s="245">
        <v>128.19999999999999</v>
      </c>
      <c r="Z91" s="245">
        <v>65.3</v>
      </c>
      <c r="AA91" s="245">
        <v>65.3</v>
      </c>
      <c r="AB91" s="245">
        <v>129.4</v>
      </c>
      <c r="AC91" s="245">
        <v>129.1</v>
      </c>
      <c r="AD91" s="245">
        <v>128.19999999999999</v>
      </c>
      <c r="AE91" s="245">
        <v>129.30000000000001</v>
      </c>
      <c r="AF91" s="245">
        <v>129.30000000000001</v>
      </c>
      <c r="AG91" s="272"/>
      <c r="AH91" s="226">
        <f t="shared" si="14"/>
        <v>130</v>
      </c>
      <c r="AI91" s="227">
        <f t="shared" si="16"/>
        <v>65.3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</v>
      </c>
      <c r="C92" s="245">
        <v>129</v>
      </c>
      <c r="D92" s="245">
        <v>130</v>
      </c>
      <c r="E92" s="245">
        <v>130</v>
      </c>
      <c r="F92" s="245">
        <v>130</v>
      </c>
      <c r="G92" s="245">
        <v>130</v>
      </c>
      <c r="H92" s="245">
        <v>130</v>
      </c>
      <c r="I92" s="245">
        <v>130</v>
      </c>
      <c r="J92" s="245">
        <v>130</v>
      </c>
      <c r="K92" s="245">
        <v>130</v>
      </c>
      <c r="L92" s="245">
        <v>127</v>
      </c>
      <c r="M92" s="245">
        <v>128.69999999999999</v>
      </c>
      <c r="N92" s="245">
        <v>128.69999999999999</v>
      </c>
      <c r="O92" s="245">
        <v>130.4</v>
      </c>
      <c r="P92" s="245">
        <v>130.80000000000001</v>
      </c>
      <c r="Q92" s="245">
        <v>130.4</v>
      </c>
      <c r="R92" s="245">
        <v>131.80000000000001</v>
      </c>
      <c r="S92" s="245">
        <v>129.19999999999999</v>
      </c>
      <c r="T92" s="245">
        <v>131.69999999999999</v>
      </c>
      <c r="U92" s="245">
        <v>129.19999999999999</v>
      </c>
      <c r="V92" s="245">
        <v>130.6</v>
      </c>
      <c r="W92" s="245">
        <v>129.6</v>
      </c>
      <c r="X92" s="245">
        <v>130</v>
      </c>
      <c r="Y92" s="245">
        <v>129.19999999999999</v>
      </c>
      <c r="Z92" s="245">
        <v>129.30000000000001</v>
      </c>
      <c r="AA92" s="245">
        <v>129.30000000000001</v>
      </c>
      <c r="AB92" s="245">
        <v>128</v>
      </c>
      <c r="AC92" s="245">
        <v>129.9</v>
      </c>
      <c r="AD92" s="245">
        <v>129.69999999999999</v>
      </c>
      <c r="AE92" s="245">
        <v>129.9</v>
      </c>
      <c r="AF92" s="245">
        <v>129.9</v>
      </c>
      <c r="AG92" s="272"/>
      <c r="AH92" s="226">
        <f t="shared" si="14"/>
        <v>131.80000000000001</v>
      </c>
      <c r="AI92" s="227">
        <f t="shared" si="16"/>
        <v>127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</v>
      </c>
      <c r="C93" s="245">
        <v>134</v>
      </c>
      <c r="D93" s="245">
        <v>133</v>
      </c>
      <c r="E93" s="245">
        <v>133</v>
      </c>
      <c r="F93" s="245">
        <v>135</v>
      </c>
      <c r="G93" s="245">
        <v>135</v>
      </c>
      <c r="H93" s="245">
        <v>135</v>
      </c>
      <c r="I93" s="245">
        <v>135</v>
      </c>
      <c r="J93" s="245">
        <v>135</v>
      </c>
      <c r="K93" s="245">
        <v>135</v>
      </c>
      <c r="L93" s="245">
        <v>131</v>
      </c>
      <c r="M93" s="245">
        <v>131</v>
      </c>
      <c r="N93" s="245">
        <v>130.6</v>
      </c>
      <c r="O93" s="245">
        <v>132.6</v>
      </c>
      <c r="P93" s="245">
        <v>132.19999999999999</v>
      </c>
      <c r="Q93" s="245">
        <v>133.30000000000001</v>
      </c>
      <c r="R93" s="245">
        <v>135.5</v>
      </c>
      <c r="S93" s="245">
        <v>131.30000000000001</v>
      </c>
      <c r="T93" s="245">
        <v>133</v>
      </c>
      <c r="U93" s="245">
        <v>132.4</v>
      </c>
      <c r="V93" s="245">
        <v>134.5</v>
      </c>
      <c r="W93" s="245">
        <v>132</v>
      </c>
      <c r="X93" s="245">
        <v>132</v>
      </c>
      <c r="Y93" s="245">
        <v>132</v>
      </c>
      <c r="Z93" s="245">
        <v>133</v>
      </c>
      <c r="AA93" s="245">
        <v>133</v>
      </c>
      <c r="AB93" s="245">
        <v>131</v>
      </c>
      <c r="AC93" s="245">
        <v>132.1</v>
      </c>
      <c r="AD93" s="245">
        <v>132.30000000000001</v>
      </c>
      <c r="AE93" s="245">
        <v>133.30000000000001</v>
      </c>
      <c r="AF93" s="245">
        <v>133.30000000000001</v>
      </c>
      <c r="AG93" s="272"/>
      <c r="AH93" s="226">
        <f t="shared" si="14"/>
        <v>135.5</v>
      </c>
      <c r="AI93" s="227">
        <f t="shared" si="16"/>
        <v>130.6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131</v>
      </c>
      <c r="C94" s="274">
        <v>131</v>
      </c>
      <c r="D94" s="274">
        <v>133</v>
      </c>
      <c r="E94" s="274">
        <v>133</v>
      </c>
      <c r="F94" s="274">
        <v>132</v>
      </c>
      <c r="G94" s="274">
        <v>132</v>
      </c>
      <c r="H94" s="274">
        <v>132</v>
      </c>
      <c r="I94" s="274">
        <v>132</v>
      </c>
      <c r="J94" s="274">
        <v>132</v>
      </c>
      <c r="K94" s="274">
        <v>132</v>
      </c>
      <c r="L94" s="274">
        <v>133</v>
      </c>
      <c r="M94" s="274">
        <v>134.30000000000001</v>
      </c>
      <c r="N94" s="274">
        <v>132.80000000000001</v>
      </c>
      <c r="O94" s="274">
        <v>133.19999999999999</v>
      </c>
      <c r="P94" s="274">
        <v>134.1</v>
      </c>
      <c r="Q94" s="274">
        <v>130.5</v>
      </c>
      <c r="R94" s="274">
        <v>134.69999999999999</v>
      </c>
      <c r="S94" s="274">
        <v>142.19999999999999</v>
      </c>
      <c r="T94" s="274">
        <v>135.30000000000001</v>
      </c>
      <c r="U94" s="274">
        <v>131.19999999999999</v>
      </c>
      <c r="V94" s="274">
        <v>135.4</v>
      </c>
      <c r="W94" s="274">
        <v>134.4</v>
      </c>
      <c r="X94" s="274">
        <v>133.4</v>
      </c>
      <c r="Y94" s="274">
        <v>135.30000000000001</v>
      </c>
      <c r="Z94" s="274">
        <v>133.30000000000001</v>
      </c>
      <c r="AA94" s="274">
        <v>133.30000000000001</v>
      </c>
      <c r="AB94" s="274">
        <v>135</v>
      </c>
      <c r="AC94" s="274">
        <v>135.1</v>
      </c>
      <c r="AD94" s="274">
        <v>130.1</v>
      </c>
      <c r="AE94" s="274">
        <v>131.9</v>
      </c>
      <c r="AF94" s="274">
        <v>131.9</v>
      </c>
      <c r="AG94" s="275"/>
      <c r="AH94" s="226">
        <f t="shared" si="14"/>
        <v>142.19999999999999</v>
      </c>
      <c r="AI94" s="227">
        <f t="shared" si="16"/>
        <v>130.1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123</v>
      </c>
      <c r="C95" s="245">
        <v>123</v>
      </c>
      <c r="D95" s="245">
        <v>127</v>
      </c>
      <c r="E95" s="245">
        <v>127</v>
      </c>
      <c r="F95" s="245">
        <v>127</v>
      </c>
      <c r="G95" s="245">
        <v>127</v>
      </c>
      <c r="H95" s="245">
        <v>127</v>
      </c>
      <c r="I95" s="245">
        <v>127</v>
      </c>
      <c r="J95" s="245">
        <v>127</v>
      </c>
      <c r="K95" s="245">
        <v>127</v>
      </c>
      <c r="L95" s="245">
        <v>132</v>
      </c>
      <c r="M95" s="245">
        <v>132.30000000000001</v>
      </c>
      <c r="N95" s="245">
        <v>127.2</v>
      </c>
      <c r="O95" s="245">
        <v>133.9</v>
      </c>
      <c r="P95" s="245">
        <v>128.5</v>
      </c>
      <c r="Q95" s="245">
        <v>121.8</v>
      </c>
      <c r="R95" s="245">
        <v>132.1</v>
      </c>
      <c r="S95" s="245">
        <v>128.69999999999999</v>
      </c>
      <c r="T95" s="245">
        <v>131.69999999999999</v>
      </c>
      <c r="U95" s="245">
        <v>128.69999999999999</v>
      </c>
      <c r="V95" s="245">
        <v>133.30000000000001</v>
      </c>
      <c r="W95" s="245">
        <v>130</v>
      </c>
      <c r="X95" s="245">
        <v>130</v>
      </c>
      <c r="Y95" s="245">
        <v>133.5</v>
      </c>
      <c r="Z95" s="245">
        <v>129</v>
      </c>
      <c r="AA95" s="245">
        <v>129</v>
      </c>
      <c r="AB95" s="245">
        <v>134</v>
      </c>
      <c r="AC95" s="245">
        <v>132</v>
      </c>
      <c r="AD95" s="245">
        <v>125.1</v>
      </c>
      <c r="AE95" s="245">
        <v>128.6</v>
      </c>
      <c r="AF95" s="245">
        <v>128.6</v>
      </c>
      <c r="AG95" s="272"/>
      <c r="AH95" s="226">
        <f t="shared" si="14"/>
        <v>134</v>
      </c>
      <c r="AI95" s="227">
        <f t="shared" si="16"/>
        <v>121.8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64.900000000000006</v>
      </c>
      <c r="C96" s="276">
        <v>64.900000000000006</v>
      </c>
      <c r="D96" s="276">
        <v>65.8</v>
      </c>
      <c r="E96" s="276">
        <v>65.8</v>
      </c>
      <c r="F96" s="276">
        <v>65.8</v>
      </c>
      <c r="G96" s="276">
        <v>65.8</v>
      </c>
      <c r="H96" s="276">
        <v>65.8</v>
      </c>
      <c r="I96" s="276">
        <v>65.8</v>
      </c>
      <c r="J96" s="276">
        <v>65.8</v>
      </c>
      <c r="K96" s="276">
        <v>64</v>
      </c>
      <c r="L96" s="276">
        <v>64.400000000000006</v>
      </c>
      <c r="M96" s="276">
        <v>64.400000000000006</v>
      </c>
      <c r="N96" s="276">
        <v>64</v>
      </c>
      <c r="O96" s="276">
        <v>63.8</v>
      </c>
      <c r="P96" s="276">
        <v>63.6</v>
      </c>
      <c r="Q96" s="276">
        <v>63.1</v>
      </c>
      <c r="R96" s="276">
        <v>63.4</v>
      </c>
      <c r="S96" s="276">
        <v>63.2</v>
      </c>
      <c r="T96" s="276">
        <v>63.6</v>
      </c>
      <c r="U96" s="276">
        <v>63.9</v>
      </c>
      <c r="V96" s="276">
        <v>64.7</v>
      </c>
      <c r="W96" s="276">
        <v>65</v>
      </c>
      <c r="X96" s="276">
        <v>65</v>
      </c>
      <c r="Y96" s="276">
        <v>65</v>
      </c>
      <c r="Z96" s="276">
        <v>65.3</v>
      </c>
      <c r="AA96" s="276">
        <v>65.3</v>
      </c>
      <c r="AB96" s="276">
        <v>65.2</v>
      </c>
      <c r="AC96" s="276">
        <v>65.2</v>
      </c>
      <c r="AD96" s="276">
        <v>64.8</v>
      </c>
      <c r="AE96" s="276">
        <v>65.400000000000006</v>
      </c>
      <c r="AF96" s="276">
        <v>65.400000000000006</v>
      </c>
      <c r="AG96" s="277"/>
      <c r="AH96" s="226">
        <f t="shared" si="14"/>
        <v>65.8</v>
      </c>
      <c r="AI96" s="227">
        <f t="shared" si="16"/>
        <v>63.1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4"/>
        <v>0</v>
      </c>
      <c r="AI97" s="227">
        <f t="shared" si="16"/>
        <v>0</v>
      </c>
    </row>
    <row r="98" spans="1:37" ht="15.75" thickBot="1" x14ac:dyDescent="0.3">
      <c r="A98" s="279" t="s">
        <v>102</v>
      </c>
      <c r="B98" s="280">
        <f t="shared" ref="B98:AF98" si="23">SUM(B15,B18,B21:B22,B46,B48:B49,B51,B53,B99:B103,B125,B131,B137,B146,B148,B160,B167,B170:B171,B178,B180,B182,B186:B188,B190:B192,B197,B203:B204,B206:B208,B216,B221)</f>
        <v>46.80000000000004</v>
      </c>
      <c r="C98" s="280">
        <f t="shared" si="23"/>
        <v>40.740000000000038</v>
      </c>
      <c r="D98" s="280">
        <f t="shared" si="23"/>
        <v>39.740000000000038</v>
      </c>
      <c r="E98" s="280">
        <f t="shared" si="23"/>
        <v>35.740000000000038</v>
      </c>
      <c r="F98" s="280">
        <f t="shared" si="23"/>
        <v>43.740000000000038</v>
      </c>
      <c r="G98" s="280">
        <f t="shared" si="23"/>
        <v>43.740000000000038</v>
      </c>
      <c r="H98" s="280">
        <f t="shared" si="23"/>
        <v>81.940000000000026</v>
      </c>
      <c r="I98" s="280">
        <f t="shared" si="23"/>
        <v>64.940000000000026</v>
      </c>
      <c r="J98" s="280">
        <f t="shared" si="23"/>
        <v>169.94</v>
      </c>
      <c r="K98" s="280">
        <f t="shared" si="23"/>
        <v>174.94</v>
      </c>
      <c r="L98" s="280">
        <f t="shared" si="23"/>
        <v>217.94</v>
      </c>
      <c r="M98" s="280">
        <f t="shared" si="23"/>
        <v>229.43999999999997</v>
      </c>
      <c r="N98" s="280">
        <f t="shared" si="23"/>
        <v>215.33999999999997</v>
      </c>
      <c r="O98" s="280">
        <f t="shared" si="23"/>
        <v>239.13999999999993</v>
      </c>
      <c r="P98" s="280">
        <f t="shared" si="23"/>
        <v>226.43999999999994</v>
      </c>
      <c r="Q98" s="280">
        <f t="shared" si="23"/>
        <v>222.7</v>
      </c>
      <c r="R98" s="280">
        <f t="shared" si="23"/>
        <v>208.20000000000002</v>
      </c>
      <c r="S98" s="280">
        <f t="shared" si="23"/>
        <v>197.10000000000002</v>
      </c>
      <c r="T98" s="280">
        <f t="shared" si="23"/>
        <v>212.2</v>
      </c>
      <c r="U98" s="280">
        <f t="shared" si="23"/>
        <v>220.10000000000002</v>
      </c>
      <c r="V98" s="280">
        <f t="shared" si="23"/>
        <v>213.5</v>
      </c>
      <c r="W98" s="280">
        <f t="shared" si="23"/>
        <v>221.8</v>
      </c>
      <c r="X98" s="280">
        <f t="shared" si="23"/>
        <v>251.5</v>
      </c>
      <c r="Y98" s="280">
        <f t="shared" si="23"/>
        <v>273.90000000000003</v>
      </c>
      <c r="Z98" s="280">
        <f t="shared" si="23"/>
        <v>298.3</v>
      </c>
      <c r="AA98" s="280">
        <f t="shared" si="23"/>
        <v>298.3</v>
      </c>
      <c r="AB98" s="280">
        <f t="shared" si="23"/>
        <v>189.70000000000002</v>
      </c>
      <c r="AC98" s="280">
        <f t="shared" si="23"/>
        <v>187.89999999999998</v>
      </c>
      <c r="AD98" s="280">
        <f t="shared" si="23"/>
        <v>177.6</v>
      </c>
      <c r="AE98" s="280">
        <f t="shared" si="23"/>
        <v>102.6</v>
      </c>
      <c r="AF98" s="280">
        <f t="shared" si="23"/>
        <v>102.6</v>
      </c>
      <c r="AG98" s="281"/>
      <c r="AH98" s="226">
        <f>MAX(C98:AF98)</f>
        <v>298.3</v>
      </c>
      <c r="AI98" s="227">
        <f>MIN(C98:AF98)</f>
        <v>35.740000000000038</v>
      </c>
    </row>
    <row r="99" spans="1:37" x14ac:dyDescent="0.25">
      <c r="A99" s="268" t="s">
        <v>103</v>
      </c>
      <c r="B99" s="282">
        <v>7</v>
      </c>
      <c r="C99" s="282">
        <v>9</v>
      </c>
      <c r="D99" s="282">
        <v>8</v>
      </c>
      <c r="E99" s="282">
        <v>6</v>
      </c>
      <c r="F99" s="282">
        <v>10</v>
      </c>
      <c r="G99" s="282">
        <v>10</v>
      </c>
      <c r="H99" s="282">
        <v>15</v>
      </c>
      <c r="I99" s="282">
        <v>15</v>
      </c>
      <c r="J99" s="282">
        <v>32</v>
      </c>
      <c r="K99" s="282">
        <v>32</v>
      </c>
      <c r="L99" s="282">
        <v>25</v>
      </c>
      <c r="M99" s="282">
        <v>29.6</v>
      </c>
      <c r="N99" s="282">
        <v>26.8</v>
      </c>
      <c r="O99" s="282">
        <v>24.7</v>
      </c>
      <c r="P99" s="282">
        <v>24.2</v>
      </c>
      <c r="Q99" s="282">
        <v>15.5</v>
      </c>
      <c r="R99" s="282">
        <v>20.9</v>
      </c>
      <c r="S99" s="282">
        <v>26.3</v>
      </c>
      <c r="T99" s="282">
        <v>17.3</v>
      </c>
      <c r="U99" s="282">
        <v>20.399999999999999</v>
      </c>
      <c r="V99" s="282">
        <v>22.7</v>
      </c>
      <c r="W99" s="282">
        <v>24.6</v>
      </c>
      <c r="X99" s="282">
        <v>32.6</v>
      </c>
      <c r="Y99" s="282">
        <v>28.3</v>
      </c>
      <c r="Z99" s="282">
        <v>21.3</v>
      </c>
      <c r="AA99" s="282">
        <v>21.3</v>
      </c>
      <c r="AB99" s="282">
        <v>14</v>
      </c>
      <c r="AC99" s="282">
        <v>14.9</v>
      </c>
      <c r="AD99" s="282">
        <v>19.2</v>
      </c>
      <c r="AE99" s="282">
        <v>11.3</v>
      </c>
      <c r="AF99" s="282">
        <v>11.3</v>
      </c>
      <c r="AG99" s="283">
        <v>75</v>
      </c>
      <c r="AH99" s="226">
        <f t="shared" ref="AH99:AH107" si="24">IF(ABS(MAX(C99:AF99))&gt;ABS(MIN(C99:AF99)),MAX(C99:AF99),MIN(C99:AF99))</f>
        <v>32.6</v>
      </c>
      <c r="AI99" s="284">
        <f t="shared" ref="AI99:AI107" si="25">INDEX($C$9:$AF$9,1,MATCH(AH99,C99:AF99,0))</f>
        <v>0.75</v>
      </c>
    </row>
    <row r="100" spans="1:37" x14ac:dyDescent="0.25">
      <c r="A100" s="271" t="s">
        <v>269</v>
      </c>
      <c r="B100" s="285">
        <v>22</v>
      </c>
      <c r="C100" s="285">
        <v>25</v>
      </c>
      <c r="D100" s="285">
        <v>23</v>
      </c>
      <c r="E100" s="285">
        <v>21</v>
      </c>
      <c r="F100" s="285">
        <v>26</v>
      </c>
      <c r="G100" s="285">
        <v>26</v>
      </c>
      <c r="H100" s="285">
        <v>28</v>
      </c>
      <c r="I100" s="285">
        <v>28</v>
      </c>
      <c r="J100" s="285">
        <v>48</v>
      </c>
      <c r="K100" s="285">
        <v>48</v>
      </c>
      <c r="L100" s="285">
        <v>42</v>
      </c>
      <c r="M100" s="285">
        <v>48.2</v>
      </c>
      <c r="N100" s="285">
        <v>44.1</v>
      </c>
      <c r="O100" s="285">
        <v>41.1</v>
      </c>
      <c r="P100" s="285">
        <v>41.8</v>
      </c>
      <c r="Q100" s="285">
        <v>29.2</v>
      </c>
      <c r="R100" s="285">
        <v>35.5</v>
      </c>
      <c r="S100" s="285">
        <v>44.2</v>
      </c>
      <c r="T100" s="285">
        <v>30.8</v>
      </c>
      <c r="U100" s="285">
        <v>34.700000000000003</v>
      </c>
      <c r="V100" s="285">
        <v>38.1</v>
      </c>
      <c r="W100" s="285">
        <v>39.299999999999997</v>
      </c>
      <c r="X100" s="285">
        <v>48.7</v>
      </c>
      <c r="Y100" s="285">
        <v>44.4</v>
      </c>
      <c r="Z100" s="285">
        <v>-75</v>
      </c>
      <c r="AA100" s="285">
        <v>-75</v>
      </c>
      <c r="AB100" s="285">
        <f>-39-42</f>
        <v>-81</v>
      </c>
      <c r="AC100" s="285">
        <v>26.6</v>
      </c>
      <c r="AD100" s="285">
        <v>35.200000000000003</v>
      </c>
      <c r="AE100" s="285">
        <v>25.1</v>
      </c>
      <c r="AF100" s="285">
        <v>25.1</v>
      </c>
      <c r="AG100" s="283">
        <v>240</v>
      </c>
      <c r="AH100" s="226">
        <f t="shared" si="24"/>
        <v>-81</v>
      </c>
      <c r="AI100" s="284">
        <f t="shared" si="25"/>
        <v>0.83333333333333337</v>
      </c>
    </row>
    <row r="101" spans="1:37" x14ac:dyDescent="0.25">
      <c r="A101" s="271" t="s">
        <v>104</v>
      </c>
      <c r="B101" s="285">
        <v>-140</v>
      </c>
      <c r="C101" s="285">
        <v>-150</v>
      </c>
      <c r="D101" s="285">
        <v>-140</v>
      </c>
      <c r="E101" s="285">
        <v>-140</v>
      </c>
      <c r="F101" s="285">
        <v>-142</v>
      </c>
      <c r="G101" s="285">
        <v>-142</v>
      </c>
      <c r="H101" s="285">
        <v>-128</v>
      </c>
      <c r="I101" s="285">
        <v>-128</v>
      </c>
      <c r="J101" s="285">
        <v>-98</v>
      </c>
      <c r="K101" s="285">
        <v>-98</v>
      </c>
      <c r="L101" s="285">
        <v>-100</v>
      </c>
      <c r="M101" s="285">
        <f>-43.8-49.2</f>
        <v>-93</v>
      </c>
      <c r="N101" s="285">
        <v>-103.4</v>
      </c>
      <c r="O101" s="285">
        <f>-43.3-47.1</f>
        <v>-90.4</v>
      </c>
      <c r="P101" s="285">
        <f>-46.9-50.1</f>
        <v>-97</v>
      </c>
      <c r="Q101" s="285">
        <f>-42.4-45.4</f>
        <v>-87.8</v>
      </c>
      <c r="R101" s="285">
        <f>-48.8-51.2</f>
        <v>-100</v>
      </c>
      <c r="S101" s="285">
        <v>-105</v>
      </c>
      <c r="T101" s="285">
        <v>-88</v>
      </c>
      <c r="U101" s="285">
        <v>-83</v>
      </c>
      <c r="V101" s="285">
        <f>-44-48</f>
        <v>-92</v>
      </c>
      <c r="W101" s="285">
        <f>-41-44</f>
        <v>-85</v>
      </c>
      <c r="X101" s="285">
        <f>-37-40</f>
        <v>-77</v>
      </c>
      <c r="Y101" s="285">
        <f>-37-40</f>
        <v>-77</v>
      </c>
      <c r="Z101" s="285">
        <v>20</v>
      </c>
      <c r="AA101" s="285">
        <v>20</v>
      </c>
      <c r="AB101" s="285">
        <v>7.7</v>
      </c>
      <c r="AC101" s="285">
        <f>-48.1-51.7</f>
        <v>-99.800000000000011</v>
      </c>
      <c r="AD101" s="285">
        <f>-67.4-70.8</f>
        <v>-138.19999999999999</v>
      </c>
      <c r="AE101" s="285">
        <v>-132</v>
      </c>
      <c r="AF101" s="285">
        <v>-132</v>
      </c>
      <c r="AG101" s="283">
        <v>240</v>
      </c>
      <c r="AH101" s="226">
        <f t="shared" si="24"/>
        <v>-150</v>
      </c>
      <c r="AI101" s="284">
        <f t="shared" si="25"/>
        <v>4.1666666666666664E-2</v>
      </c>
    </row>
    <row r="102" spans="1:37" x14ac:dyDescent="0.25">
      <c r="A102" s="271" t="s">
        <v>105</v>
      </c>
      <c r="B102" s="285">
        <v>-8</v>
      </c>
      <c r="C102" s="285">
        <v>-10</v>
      </c>
      <c r="D102" s="285">
        <v>-8</v>
      </c>
      <c r="E102" s="285">
        <v>-8</v>
      </c>
      <c r="F102" s="285">
        <v>-7</v>
      </c>
      <c r="G102" s="285">
        <v>-7</v>
      </c>
      <c r="H102" s="285">
        <v>-3</v>
      </c>
      <c r="I102" s="285">
        <v>-3</v>
      </c>
      <c r="J102" s="285">
        <v>3</v>
      </c>
      <c r="K102" s="285">
        <v>3</v>
      </c>
      <c r="L102" s="285">
        <v>10</v>
      </c>
      <c r="M102" s="285">
        <v>1.2</v>
      </c>
      <c r="N102" s="285">
        <v>3.2</v>
      </c>
      <c r="O102" s="285">
        <v>6.2</v>
      </c>
      <c r="P102" s="285">
        <v>5.4</v>
      </c>
      <c r="Q102" s="285">
        <v>6.9</v>
      </c>
      <c r="R102" s="285">
        <v>4</v>
      </c>
      <c r="S102" s="285">
        <v>2.5</v>
      </c>
      <c r="T102" s="285">
        <v>7.6</v>
      </c>
      <c r="U102" s="285">
        <v>9.3000000000000007</v>
      </c>
      <c r="V102" s="285">
        <v>8.8000000000000007</v>
      </c>
      <c r="W102" s="285">
        <v>10</v>
      </c>
      <c r="X102" s="285">
        <v>12.3</v>
      </c>
      <c r="Y102" s="285">
        <v>11.9</v>
      </c>
      <c r="Z102" s="285">
        <v>73</v>
      </c>
      <c r="AA102" s="285">
        <v>73</v>
      </c>
      <c r="AB102" s="285">
        <v>7.7</v>
      </c>
      <c r="AC102" s="285">
        <v>4.3</v>
      </c>
      <c r="AD102" s="285">
        <v>-1.3</v>
      </c>
      <c r="AE102" s="285">
        <v>-3.2</v>
      </c>
      <c r="AF102" s="285">
        <v>-3.2</v>
      </c>
      <c r="AG102" s="283">
        <v>60</v>
      </c>
      <c r="AH102" s="226">
        <f t="shared" si="24"/>
        <v>73</v>
      </c>
      <c r="AI102" s="284">
        <f t="shared" si="25"/>
        <v>0.79166666666666663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>
        <v>0</v>
      </c>
      <c r="F103" s="287">
        <v>0</v>
      </c>
      <c r="G103" s="287">
        <v>0</v>
      </c>
      <c r="H103" s="287">
        <v>0</v>
      </c>
      <c r="I103" s="287">
        <v>0</v>
      </c>
      <c r="J103" s="287">
        <v>0</v>
      </c>
      <c r="K103" s="287">
        <v>0</v>
      </c>
      <c r="L103" s="287">
        <v>51</v>
      </c>
      <c r="M103" s="287">
        <v>45.1</v>
      </c>
      <c r="N103" s="287">
        <v>42.7</v>
      </c>
      <c r="O103" s="287">
        <v>54.6</v>
      </c>
      <c r="P103" s="287">
        <v>51.1</v>
      </c>
      <c r="Q103" s="287">
        <v>60.7</v>
      </c>
      <c r="R103" s="287">
        <v>47.6</v>
      </c>
      <c r="S103" s="287">
        <v>46.8</v>
      </c>
      <c r="T103" s="287">
        <v>58.2</v>
      </c>
      <c r="U103" s="287">
        <v>52.8</v>
      </c>
      <c r="V103" s="287">
        <v>50</v>
      </c>
      <c r="W103" s="287">
        <v>57</v>
      </c>
      <c r="X103" s="287">
        <v>59</v>
      </c>
      <c r="Y103" s="287">
        <v>70.400000000000006</v>
      </c>
      <c r="Z103" s="287">
        <v>63.1</v>
      </c>
      <c r="AA103" s="287">
        <v>63.1</v>
      </c>
      <c r="AB103" s="287">
        <v>63.4</v>
      </c>
      <c r="AC103" s="287">
        <v>63</v>
      </c>
      <c r="AD103" s="287">
        <v>63.7</v>
      </c>
      <c r="AE103" s="287">
        <v>19.399999999999999</v>
      </c>
      <c r="AF103" s="287">
        <v>19.399999999999999</v>
      </c>
      <c r="AG103" s="288">
        <v>120</v>
      </c>
      <c r="AH103" s="226">
        <f t="shared" si="24"/>
        <v>70.400000000000006</v>
      </c>
      <c r="AI103" s="284">
        <f t="shared" si="25"/>
        <v>0.77083333333333337</v>
      </c>
    </row>
    <row r="104" spans="1:37" x14ac:dyDescent="0.25">
      <c r="A104" s="286" t="s">
        <v>107</v>
      </c>
      <c r="B104" s="287">
        <v>51</v>
      </c>
      <c r="C104" s="287">
        <v>30</v>
      </c>
      <c r="D104" s="287">
        <v>45</v>
      </c>
      <c r="E104" s="287">
        <v>45</v>
      </c>
      <c r="F104" s="287">
        <v>41</v>
      </c>
      <c r="G104" s="287">
        <v>52</v>
      </c>
      <c r="H104" s="287">
        <v>44</v>
      </c>
      <c r="I104" s="287">
        <v>44</v>
      </c>
      <c r="J104" s="287">
        <v>50</v>
      </c>
      <c r="K104" s="287">
        <v>50</v>
      </c>
      <c r="L104" s="287">
        <v>55</v>
      </c>
      <c r="M104" s="287">
        <v>40.799999999999997</v>
      </c>
      <c r="N104" s="287">
        <v>45.4</v>
      </c>
      <c r="O104" s="287">
        <v>51.2</v>
      </c>
      <c r="P104" s="287">
        <v>52.5</v>
      </c>
      <c r="Q104" s="287">
        <v>65.5</v>
      </c>
      <c r="R104" s="287">
        <v>55.9</v>
      </c>
      <c r="S104" s="287">
        <v>55</v>
      </c>
      <c r="T104" s="287">
        <v>57.4</v>
      </c>
      <c r="U104" s="287">
        <v>49.9</v>
      </c>
      <c r="V104" s="287">
        <v>44</v>
      </c>
      <c r="W104" s="287">
        <v>52</v>
      </c>
      <c r="X104" s="287">
        <v>48.1</v>
      </c>
      <c r="Y104" s="287">
        <v>61.2</v>
      </c>
      <c r="Z104" s="287">
        <v>47</v>
      </c>
      <c r="AA104" s="287">
        <v>47</v>
      </c>
      <c r="AB104" s="287">
        <v>62</v>
      </c>
      <c r="AC104" s="287">
        <v>51.1</v>
      </c>
      <c r="AD104" s="287">
        <v>31</v>
      </c>
      <c r="AE104" s="287">
        <v>38.1</v>
      </c>
      <c r="AF104" s="287">
        <v>38.1</v>
      </c>
      <c r="AG104" s="288"/>
      <c r="AH104" s="226">
        <f t="shared" si="24"/>
        <v>65.5</v>
      </c>
      <c r="AI104" s="284">
        <f t="shared" si="25"/>
        <v>0.5</v>
      </c>
    </row>
    <row r="105" spans="1:37" x14ac:dyDescent="0.25">
      <c r="A105" s="286" t="s">
        <v>108</v>
      </c>
      <c r="B105" s="287">
        <v>69</v>
      </c>
      <c r="C105" s="287">
        <v>59</v>
      </c>
      <c r="D105" s="287">
        <v>64</v>
      </c>
      <c r="E105" s="287">
        <v>64</v>
      </c>
      <c r="F105" s="287">
        <v>61</v>
      </c>
      <c r="G105" s="287">
        <v>55</v>
      </c>
      <c r="H105" s="287">
        <v>61</v>
      </c>
      <c r="I105" s="287">
        <v>61</v>
      </c>
      <c r="J105" s="287">
        <v>24</v>
      </c>
      <c r="K105" s="287">
        <v>24</v>
      </c>
      <c r="L105" s="287">
        <v>29</v>
      </c>
      <c r="M105" s="287">
        <v>13.9</v>
      </c>
      <c r="N105" s="287">
        <v>29.6</v>
      </c>
      <c r="O105" s="287">
        <v>41.8</v>
      </c>
      <c r="P105" s="287">
        <v>42</v>
      </c>
      <c r="Q105" s="287">
        <v>68.8</v>
      </c>
      <c r="R105" s="287">
        <v>36.200000000000003</v>
      </c>
      <c r="S105" s="287">
        <v>49.9</v>
      </c>
      <c r="T105" s="287">
        <v>65.599999999999994</v>
      </c>
      <c r="U105" s="287">
        <v>59.4</v>
      </c>
      <c r="V105" s="287">
        <v>43</v>
      </c>
      <c r="W105" s="287">
        <v>27</v>
      </c>
      <c r="X105" s="287">
        <v>3.1</v>
      </c>
      <c r="Y105" s="287">
        <v>20</v>
      </c>
      <c r="Z105" s="287">
        <v>23</v>
      </c>
      <c r="AA105" s="287">
        <v>23</v>
      </c>
      <c r="AB105" s="287">
        <v>64</v>
      </c>
      <c r="AC105" s="287">
        <v>54</v>
      </c>
      <c r="AD105" s="287">
        <v>53.5</v>
      </c>
      <c r="AE105" s="287">
        <v>69</v>
      </c>
      <c r="AF105" s="287">
        <v>69</v>
      </c>
      <c r="AG105" s="289"/>
      <c r="AH105" s="226">
        <f t="shared" si="24"/>
        <v>69</v>
      </c>
      <c r="AI105" s="284">
        <f t="shared" si="25"/>
        <v>0.91666666666666696</v>
      </c>
    </row>
    <row r="106" spans="1:37" x14ac:dyDescent="0.25">
      <c r="A106" s="290" t="s">
        <v>109</v>
      </c>
      <c r="B106" s="274">
        <v>120</v>
      </c>
      <c r="C106" s="274">
        <v>120</v>
      </c>
      <c r="D106" s="274">
        <v>120</v>
      </c>
      <c r="E106" s="274">
        <v>120</v>
      </c>
      <c r="F106" s="274">
        <v>124</v>
      </c>
      <c r="G106" s="274">
        <v>124</v>
      </c>
      <c r="H106" s="274">
        <v>124</v>
      </c>
      <c r="I106" s="274">
        <v>0</v>
      </c>
      <c r="J106" s="274">
        <v>112</v>
      </c>
      <c r="K106" s="274">
        <v>112</v>
      </c>
      <c r="L106" s="274">
        <v>116</v>
      </c>
      <c r="M106" s="274">
        <v>116.6</v>
      </c>
      <c r="N106" s="274">
        <v>116.9</v>
      </c>
      <c r="O106" s="274">
        <v>119.2</v>
      </c>
      <c r="P106" s="274">
        <v>113.2</v>
      </c>
      <c r="Q106" s="274">
        <v>121.5</v>
      </c>
      <c r="R106" s="274">
        <v>116</v>
      </c>
      <c r="S106" s="274">
        <v>112</v>
      </c>
      <c r="T106" s="274">
        <v>117</v>
      </c>
      <c r="U106" s="274">
        <v>117</v>
      </c>
      <c r="V106" s="274">
        <v>110</v>
      </c>
      <c r="W106" s="274">
        <v>109</v>
      </c>
      <c r="X106" s="274">
        <v>70.900000000000006</v>
      </c>
      <c r="Y106" s="274">
        <v>80.5</v>
      </c>
      <c r="Z106" s="274"/>
      <c r="AA106" s="274"/>
      <c r="AB106" s="274">
        <v>107</v>
      </c>
      <c r="AC106" s="274">
        <v>111.3</v>
      </c>
      <c r="AD106" s="274">
        <v>117.5</v>
      </c>
      <c r="AE106" s="274">
        <v>120.2</v>
      </c>
      <c r="AF106" s="274">
        <v>120.2</v>
      </c>
      <c r="AG106" s="289"/>
      <c r="AH106" s="226">
        <f t="shared" si="24"/>
        <v>124</v>
      </c>
      <c r="AI106" s="284">
        <f t="shared" si="25"/>
        <v>0.16666666666666699</v>
      </c>
    </row>
    <row r="107" spans="1:37" ht="15.75" thickBot="1" x14ac:dyDescent="0.3">
      <c r="A107" s="290" t="s">
        <v>110</v>
      </c>
      <c r="B107" s="274">
        <v>84</v>
      </c>
      <c r="C107" s="274">
        <v>100</v>
      </c>
      <c r="D107" s="274">
        <v>90</v>
      </c>
      <c r="E107" s="274">
        <v>82</v>
      </c>
      <c r="F107" s="274">
        <v>88</v>
      </c>
      <c r="G107" s="274">
        <v>80</v>
      </c>
      <c r="H107" s="274">
        <v>80</v>
      </c>
      <c r="I107" s="274">
        <v>66</v>
      </c>
      <c r="J107" s="274">
        <v>71</v>
      </c>
      <c r="K107" s="274">
        <v>71</v>
      </c>
      <c r="L107" s="274">
        <v>69</v>
      </c>
      <c r="M107" s="274">
        <v>65.900000000000006</v>
      </c>
      <c r="N107" s="274">
        <v>65</v>
      </c>
      <c r="O107" s="274">
        <v>63.8</v>
      </c>
      <c r="P107" s="274">
        <v>63.5</v>
      </c>
      <c r="Q107" s="274">
        <v>43.7</v>
      </c>
      <c r="R107" s="274">
        <v>56.9</v>
      </c>
      <c r="S107" s="274">
        <v>58.6</v>
      </c>
      <c r="T107" s="274">
        <v>51.4</v>
      </c>
      <c r="U107" s="274">
        <v>51.9</v>
      </c>
      <c r="V107" s="274">
        <v>57.4</v>
      </c>
      <c r="W107" s="274">
        <v>55.3</v>
      </c>
      <c r="X107" s="274">
        <v>53.1</v>
      </c>
      <c r="Y107" s="274">
        <v>51</v>
      </c>
      <c r="Z107" s="274"/>
      <c r="AA107" s="274"/>
      <c r="AB107" s="274">
        <v>45</v>
      </c>
      <c r="AC107" s="274">
        <v>56.1</v>
      </c>
      <c r="AD107" s="274">
        <v>84.4</v>
      </c>
      <c r="AE107" s="274">
        <v>79.2</v>
      </c>
      <c r="AF107" s="274">
        <v>79.2</v>
      </c>
      <c r="AG107" s="289"/>
      <c r="AH107" s="226">
        <f t="shared" si="24"/>
        <v>100</v>
      </c>
      <c r="AI107" s="284">
        <f t="shared" si="25"/>
        <v>4.1666666666666664E-2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26">SUM(C109:C213)</f>
        <v>0</v>
      </c>
      <c r="D214" s="307">
        <f t="shared" si="26"/>
        <v>0</v>
      </c>
      <c r="E214" s="307">
        <f t="shared" si="26"/>
        <v>0</v>
      </c>
      <c r="F214" s="307">
        <f t="shared" si="26"/>
        <v>0</v>
      </c>
      <c r="G214" s="307">
        <f t="shared" si="26"/>
        <v>0</v>
      </c>
      <c r="H214" s="307">
        <f t="shared" si="26"/>
        <v>0</v>
      </c>
      <c r="I214" s="307">
        <f t="shared" si="26"/>
        <v>0</v>
      </c>
      <c r="J214" s="307">
        <f t="shared" si="26"/>
        <v>0</v>
      </c>
      <c r="K214" s="307">
        <f t="shared" si="26"/>
        <v>0</v>
      </c>
      <c r="L214" s="307">
        <f t="shared" si="26"/>
        <v>0</v>
      </c>
      <c r="M214" s="307">
        <f t="shared" si="26"/>
        <v>0</v>
      </c>
      <c r="N214" s="307">
        <f t="shared" si="26"/>
        <v>0</v>
      </c>
      <c r="O214" s="307">
        <f t="shared" si="26"/>
        <v>0</v>
      </c>
      <c r="P214" s="307">
        <f t="shared" si="26"/>
        <v>0</v>
      </c>
      <c r="Q214" s="307">
        <f t="shared" si="26"/>
        <v>0</v>
      </c>
      <c r="R214" s="307">
        <f t="shared" si="26"/>
        <v>0</v>
      </c>
      <c r="S214" s="307">
        <f t="shared" si="26"/>
        <v>0</v>
      </c>
      <c r="T214" s="307">
        <f t="shared" si="26"/>
        <v>0</v>
      </c>
      <c r="U214" s="307">
        <f t="shared" si="26"/>
        <v>0</v>
      </c>
      <c r="V214" s="307">
        <f t="shared" si="26"/>
        <v>0</v>
      </c>
      <c r="W214" s="307">
        <f t="shared" si="26"/>
        <v>0</v>
      </c>
      <c r="X214" s="307">
        <f t="shared" si="26"/>
        <v>0</v>
      </c>
      <c r="Y214" s="307">
        <f t="shared" si="26"/>
        <v>0</v>
      </c>
      <c r="Z214" s="307">
        <f t="shared" si="26"/>
        <v>0</v>
      </c>
      <c r="AA214" s="307">
        <f t="shared" si="26"/>
        <v>0</v>
      </c>
      <c r="AB214" s="307">
        <f t="shared" si="26"/>
        <v>0</v>
      </c>
      <c r="AC214" s="307">
        <f t="shared" si="26"/>
        <v>0</v>
      </c>
      <c r="AD214" s="307">
        <f t="shared" si="26"/>
        <v>0</v>
      </c>
      <c r="AE214" s="307">
        <f t="shared" si="26"/>
        <v>0</v>
      </c>
      <c r="AF214" s="308">
        <f t="shared" si="26"/>
        <v>0</v>
      </c>
      <c r="AG214" s="309">
        <f t="shared" si="26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27">AF216</f>
        <v>0</v>
      </c>
      <c r="C216" s="312">
        <v>0.3</v>
      </c>
      <c r="D216" s="312">
        <f t="shared" ref="D216:P221" si="28">C216</f>
        <v>0.3</v>
      </c>
      <c r="E216" s="312">
        <f t="shared" si="28"/>
        <v>0.3</v>
      </c>
      <c r="F216" s="312">
        <f t="shared" si="28"/>
        <v>0.3</v>
      </c>
      <c r="G216" s="312">
        <f t="shared" si="28"/>
        <v>0.3</v>
      </c>
      <c r="H216" s="312">
        <f t="shared" si="28"/>
        <v>0.3</v>
      </c>
      <c r="I216" s="312">
        <f t="shared" si="28"/>
        <v>0.3</v>
      </c>
      <c r="J216" s="312">
        <f t="shared" si="28"/>
        <v>0.3</v>
      </c>
      <c r="K216" s="312">
        <f t="shared" si="28"/>
        <v>0.3</v>
      </c>
      <c r="L216" s="312">
        <f t="shared" si="28"/>
        <v>0.3</v>
      </c>
      <c r="M216" s="312">
        <f t="shared" si="28"/>
        <v>0.3</v>
      </c>
      <c r="N216" s="312">
        <f t="shared" si="28"/>
        <v>0.3</v>
      </c>
      <c r="O216" s="312">
        <f t="shared" si="28"/>
        <v>0.3</v>
      </c>
      <c r="P216" s="312">
        <f t="shared" si="28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27"/>
        <v>0</v>
      </c>
      <c r="C217" s="299">
        <v>0.4</v>
      </c>
      <c r="D217" s="299">
        <f t="shared" si="28"/>
        <v>0.4</v>
      </c>
      <c r="E217" s="299">
        <f t="shared" si="28"/>
        <v>0.4</v>
      </c>
      <c r="F217" s="299">
        <f t="shared" si="28"/>
        <v>0.4</v>
      </c>
      <c r="G217" s="299">
        <f t="shared" si="28"/>
        <v>0.4</v>
      </c>
      <c r="H217" s="299">
        <f t="shared" si="28"/>
        <v>0.4</v>
      </c>
      <c r="I217" s="299">
        <f t="shared" si="28"/>
        <v>0.4</v>
      </c>
      <c r="J217" s="299">
        <f t="shared" si="28"/>
        <v>0.4</v>
      </c>
      <c r="K217" s="299">
        <f t="shared" si="28"/>
        <v>0.4</v>
      </c>
      <c r="L217" s="299">
        <f t="shared" si="28"/>
        <v>0.4</v>
      </c>
      <c r="M217" s="299">
        <f t="shared" si="28"/>
        <v>0.4</v>
      </c>
      <c r="N217" s="299">
        <f t="shared" si="28"/>
        <v>0.4</v>
      </c>
      <c r="O217" s="299">
        <f t="shared" si="28"/>
        <v>0.4</v>
      </c>
      <c r="P217" s="299">
        <f t="shared" si="28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27"/>
        <v>0</v>
      </c>
      <c r="C218" s="299">
        <v>1.5</v>
      </c>
      <c r="D218" s="299">
        <f t="shared" si="28"/>
        <v>1.5</v>
      </c>
      <c r="E218" s="299">
        <f t="shared" si="28"/>
        <v>1.5</v>
      </c>
      <c r="F218" s="299">
        <f t="shared" si="28"/>
        <v>1.5</v>
      </c>
      <c r="G218" s="299">
        <f t="shared" si="28"/>
        <v>1.5</v>
      </c>
      <c r="H218" s="299">
        <f t="shared" si="28"/>
        <v>1.5</v>
      </c>
      <c r="I218" s="299">
        <f t="shared" si="28"/>
        <v>1.5</v>
      </c>
      <c r="J218" s="299">
        <f t="shared" si="28"/>
        <v>1.5</v>
      </c>
      <c r="K218" s="299">
        <f t="shared" si="28"/>
        <v>1.5</v>
      </c>
      <c r="L218" s="299">
        <f t="shared" si="28"/>
        <v>1.5</v>
      </c>
      <c r="M218" s="299">
        <f t="shared" si="28"/>
        <v>1.5</v>
      </c>
      <c r="N218" s="299">
        <f t="shared" si="28"/>
        <v>1.5</v>
      </c>
      <c r="O218" s="299">
        <f t="shared" si="28"/>
        <v>1.5</v>
      </c>
      <c r="P218" s="299">
        <f t="shared" si="28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27"/>
        <v>0</v>
      </c>
      <c r="C219" s="299">
        <v>0.3</v>
      </c>
      <c r="D219" s="299">
        <f t="shared" si="28"/>
        <v>0.3</v>
      </c>
      <c r="E219" s="299">
        <f t="shared" si="28"/>
        <v>0.3</v>
      </c>
      <c r="F219" s="299">
        <f t="shared" si="28"/>
        <v>0.3</v>
      </c>
      <c r="G219" s="299">
        <f t="shared" si="28"/>
        <v>0.3</v>
      </c>
      <c r="H219" s="299">
        <f t="shared" si="28"/>
        <v>0.3</v>
      </c>
      <c r="I219" s="299">
        <f t="shared" si="28"/>
        <v>0.3</v>
      </c>
      <c r="J219" s="299">
        <f t="shared" si="28"/>
        <v>0.3</v>
      </c>
      <c r="K219" s="299">
        <f t="shared" si="28"/>
        <v>0.3</v>
      </c>
      <c r="L219" s="299">
        <f t="shared" si="28"/>
        <v>0.3</v>
      </c>
      <c r="M219" s="299">
        <f t="shared" si="28"/>
        <v>0.3</v>
      </c>
      <c r="N219" s="299">
        <f t="shared" si="28"/>
        <v>0.3</v>
      </c>
      <c r="O219" s="299">
        <f t="shared" si="28"/>
        <v>0.3</v>
      </c>
      <c r="P219" s="299">
        <f t="shared" si="28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27"/>
        <v>0</v>
      </c>
      <c r="C220" s="299">
        <v>0.4</v>
      </c>
      <c r="D220" s="299">
        <f t="shared" si="28"/>
        <v>0.4</v>
      </c>
      <c r="E220" s="299">
        <f t="shared" si="28"/>
        <v>0.4</v>
      </c>
      <c r="F220" s="299">
        <f t="shared" si="28"/>
        <v>0.4</v>
      </c>
      <c r="G220" s="299">
        <f t="shared" si="28"/>
        <v>0.4</v>
      </c>
      <c r="H220" s="299">
        <f t="shared" si="28"/>
        <v>0.4</v>
      </c>
      <c r="I220" s="299">
        <f t="shared" si="28"/>
        <v>0.4</v>
      </c>
      <c r="J220" s="299">
        <f t="shared" si="28"/>
        <v>0.4</v>
      </c>
      <c r="K220" s="299">
        <f t="shared" si="28"/>
        <v>0.4</v>
      </c>
      <c r="L220" s="299">
        <f t="shared" si="28"/>
        <v>0.4</v>
      </c>
      <c r="M220" s="299">
        <f t="shared" si="28"/>
        <v>0.4</v>
      </c>
      <c r="N220" s="299">
        <f t="shared" si="28"/>
        <v>0.4</v>
      </c>
      <c r="O220" s="299">
        <f t="shared" si="28"/>
        <v>0.4</v>
      </c>
      <c r="P220" s="299">
        <f t="shared" si="28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27"/>
        <v>0</v>
      </c>
      <c r="C221" s="303">
        <v>0.64</v>
      </c>
      <c r="D221" s="303">
        <f t="shared" si="28"/>
        <v>0.64</v>
      </c>
      <c r="E221" s="303">
        <f t="shared" si="28"/>
        <v>0.64</v>
      </c>
      <c r="F221" s="303">
        <f t="shared" si="28"/>
        <v>0.64</v>
      </c>
      <c r="G221" s="303">
        <f t="shared" si="28"/>
        <v>0.64</v>
      </c>
      <c r="H221" s="303">
        <f t="shared" si="28"/>
        <v>0.64</v>
      </c>
      <c r="I221" s="303">
        <f t="shared" si="28"/>
        <v>0.64</v>
      </c>
      <c r="J221" s="303">
        <f t="shared" si="28"/>
        <v>0.64</v>
      </c>
      <c r="K221" s="303">
        <f t="shared" si="28"/>
        <v>0.64</v>
      </c>
      <c r="L221" s="303">
        <f t="shared" si="28"/>
        <v>0.64</v>
      </c>
      <c r="M221" s="303">
        <f t="shared" si="28"/>
        <v>0.64</v>
      </c>
      <c r="N221" s="303">
        <f t="shared" si="28"/>
        <v>0.64</v>
      </c>
      <c r="O221" s="303">
        <f t="shared" si="28"/>
        <v>0.64</v>
      </c>
      <c r="P221" s="303">
        <f t="shared" si="28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29">SUM(D216:D221)</f>
        <v>3.54</v>
      </c>
      <c r="E222" s="307">
        <f t="shared" si="29"/>
        <v>3.54</v>
      </c>
      <c r="F222" s="307">
        <f t="shared" si="29"/>
        <v>3.54</v>
      </c>
      <c r="G222" s="307">
        <f t="shared" si="29"/>
        <v>3.54</v>
      </c>
      <c r="H222" s="307">
        <f t="shared" si="29"/>
        <v>3.54</v>
      </c>
      <c r="I222" s="307">
        <f t="shared" si="29"/>
        <v>3.54</v>
      </c>
      <c r="J222" s="307">
        <f t="shared" si="29"/>
        <v>3.54</v>
      </c>
      <c r="K222" s="307">
        <f t="shared" si="29"/>
        <v>3.54</v>
      </c>
      <c r="L222" s="307">
        <f t="shared" si="29"/>
        <v>3.54</v>
      </c>
      <c r="M222" s="307">
        <f>SUM(M216:M221)</f>
        <v>3.54</v>
      </c>
      <c r="N222" s="307">
        <f t="shared" ref="N222:S222" si="30">SUM(N216:N221)</f>
        <v>3.54</v>
      </c>
      <c r="O222" s="307">
        <f t="shared" si="30"/>
        <v>3.54</v>
      </c>
      <c r="P222" s="307">
        <f t="shared" si="30"/>
        <v>3.54</v>
      </c>
      <c r="Q222" s="307">
        <f t="shared" si="30"/>
        <v>0</v>
      </c>
      <c r="R222" s="307">
        <f t="shared" si="30"/>
        <v>0</v>
      </c>
      <c r="S222" s="307">
        <f t="shared" si="30"/>
        <v>0</v>
      </c>
      <c r="T222" s="307">
        <f>SUM(T216:T221)</f>
        <v>0</v>
      </c>
      <c r="U222" s="307">
        <f t="shared" ref="U222:AG222" si="31">SUM(U216:U221)</f>
        <v>0</v>
      </c>
      <c r="V222" s="307">
        <f t="shared" si="31"/>
        <v>0</v>
      </c>
      <c r="W222" s="307">
        <f t="shared" si="31"/>
        <v>0</v>
      </c>
      <c r="X222" s="307">
        <f t="shared" si="31"/>
        <v>0</v>
      </c>
      <c r="Y222" s="307">
        <f t="shared" si="31"/>
        <v>0</v>
      </c>
      <c r="Z222" s="307">
        <f t="shared" si="31"/>
        <v>0</v>
      </c>
      <c r="AA222" s="307">
        <f t="shared" si="31"/>
        <v>0</v>
      </c>
      <c r="AB222" s="307">
        <f t="shared" si="31"/>
        <v>0</v>
      </c>
      <c r="AC222" s="307">
        <f t="shared" si="31"/>
        <v>0</v>
      </c>
      <c r="AD222" s="307">
        <f t="shared" si="31"/>
        <v>0</v>
      </c>
      <c r="AE222" s="307">
        <f t="shared" si="31"/>
        <v>0</v>
      </c>
      <c r="AF222" s="307">
        <f t="shared" si="31"/>
        <v>0</v>
      </c>
      <c r="AG222" s="317">
        <f t="shared" si="31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1827.84</v>
      </c>
      <c r="C231" s="333">
        <f>INDEX(G9:N9,1,MATCH(MAX(G79:N79),G79:N79,0))</f>
        <v>0.3125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27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str">
        <f ca="1">"Pie Chart of Daily Peak Demand(Inclusive of Export) of Nepal ("&amp;A4&amp;" "&amp;B4&amp;")"</f>
        <v>Pie Chart of Daily Peak Demand(Inclusive of Export) of Nepal (Nepali Date: 2079/02/27)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str">
        <f ca="1">"Daily Load Curve(Excluding of Export) of Nepal ("&amp;A4&amp;" "&amp;B4&amp;")"</f>
        <v>Daily Load Curve(Excluding of Export) of Nepal (Nepali Date: 2079/02/27)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32">B79</f>
        <v>1817.6399999999999</v>
      </c>
      <c r="U236" s="343">
        <f t="shared" si="32"/>
        <v>1814.6399999999999</v>
      </c>
      <c r="V236" s="343">
        <f t="shared" si="32"/>
        <v>1791.6399999999999</v>
      </c>
      <c r="W236" s="343">
        <f t="shared" si="32"/>
        <v>1803.6399999999999</v>
      </c>
      <c r="X236" s="343">
        <f t="shared" si="32"/>
        <v>1784.6399999999999</v>
      </c>
      <c r="Y236" s="343">
        <f t="shared" si="32"/>
        <v>1790.04</v>
      </c>
      <c r="Z236" s="343">
        <f t="shared" si="32"/>
        <v>1796.24</v>
      </c>
      <c r="AA236" s="343">
        <f t="shared" si="32"/>
        <v>1706.24</v>
      </c>
      <c r="AB236" s="343">
        <f t="shared" si="32"/>
        <v>1799.24</v>
      </c>
      <c r="AC236" s="343">
        <f t="shared" si="32"/>
        <v>1804.24</v>
      </c>
      <c r="AD236" s="343">
        <f t="shared" si="32"/>
        <v>1827.84</v>
      </c>
      <c r="AE236" s="343">
        <f t="shared" si="32"/>
        <v>1819.54</v>
      </c>
      <c r="AF236" s="343">
        <f t="shared" si="32"/>
        <v>1817.54</v>
      </c>
      <c r="AG236" s="343">
        <f t="shared" si="32"/>
        <v>1813.54</v>
      </c>
      <c r="AH236" s="343">
        <f t="shared" si="32"/>
        <v>1812.6399999999999</v>
      </c>
      <c r="AI236" s="343">
        <f t="shared" si="32"/>
        <v>1814.74</v>
      </c>
      <c r="AJ236" s="343">
        <f t="shared" si="32"/>
        <v>1824.2399999999998</v>
      </c>
      <c r="AK236" s="343">
        <f t="shared" si="32"/>
        <v>1812.94</v>
      </c>
      <c r="AL236" s="343">
        <f t="shared" si="32"/>
        <v>1815.6400000000003</v>
      </c>
      <c r="AM236" s="343">
        <f t="shared" si="32"/>
        <v>1801.94</v>
      </c>
      <c r="AN236" s="343">
        <f t="shared" si="32"/>
        <v>1766.54</v>
      </c>
      <c r="AO236" s="343">
        <f t="shared" si="32"/>
        <v>1756.54</v>
      </c>
      <c r="AP236" s="343">
        <f t="shared" si="32"/>
        <v>1761.5400000000002</v>
      </c>
      <c r="AQ236" s="343">
        <f t="shared" si="32"/>
        <v>1789.3400000000001</v>
      </c>
      <c r="AR236" s="343">
        <f t="shared" si="32"/>
        <v>1868.04</v>
      </c>
      <c r="AS236" s="343">
        <f t="shared" si="32"/>
        <v>1846.5400000000002</v>
      </c>
      <c r="AT236" s="343">
        <f t="shared" si="32"/>
        <v>1804.64</v>
      </c>
      <c r="AU236" s="343">
        <f t="shared" si="32"/>
        <v>1793.64</v>
      </c>
      <c r="AV236" s="343">
        <f t="shared" si="32"/>
        <v>1833.84</v>
      </c>
      <c r="AW236" s="343">
        <f t="shared" si="32"/>
        <v>1778.44</v>
      </c>
      <c r="AX236" s="343">
        <f t="shared" si="32"/>
        <v>1755.0400000000002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33">C221</f>
        <v>0.64</v>
      </c>
      <c r="C257" s="346">
        <f t="shared" si="33"/>
        <v>0.64</v>
      </c>
      <c r="D257" s="346">
        <f t="shared" si="33"/>
        <v>0.64</v>
      </c>
      <c r="E257" s="346">
        <f t="shared" si="33"/>
        <v>0.64</v>
      </c>
      <c r="F257" s="346">
        <f t="shared" si="33"/>
        <v>0.64</v>
      </c>
      <c r="G257" s="346">
        <f t="shared" si="33"/>
        <v>0.64</v>
      </c>
      <c r="H257" s="346">
        <f t="shared" si="33"/>
        <v>0.64</v>
      </c>
      <c r="I257" s="346">
        <f t="shared" si="33"/>
        <v>0.64</v>
      </c>
      <c r="J257" s="346">
        <f t="shared" si="33"/>
        <v>0.64</v>
      </c>
      <c r="K257" s="346">
        <f t="shared" si="33"/>
        <v>0.64</v>
      </c>
      <c r="L257" s="346">
        <f t="shared" si="33"/>
        <v>0.64</v>
      </c>
      <c r="M257" s="346">
        <f t="shared" si="33"/>
        <v>0.64</v>
      </c>
      <c r="N257" s="346">
        <f t="shared" si="33"/>
        <v>0.64</v>
      </c>
      <c r="O257" s="346">
        <f t="shared" si="33"/>
        <v>0.64</v>
      </c>
      <c r="P257" s="346">
        <f t="shared" si="33"/>
        <v>0</v>
      </c>
      <c r="Q257" s="346">
        <f t="shared" si="33"/>
        <v>0</v>
      </c>
      <c r="R257" s="346">
        <f t="shared" si="33"/>
        <v>0</v>
      </c>
      <c r="S257" s="346">
        <f t="shared" si="33"/>
        <v>0</v>
      </c>
      <c r="T257" s="346">
        <f t="shared" si="33"/>
        <v>0</v>
      </c>
      <c r="U257" s="346">
        <f t="shared" si="33"/>
        <v>0</v>
      </c>
      <c r="V257" s="346">
        <f t="shared" si="33"/>
        <v>0</v>
      </c>
      <c r="W257" s="346">
        <f t="shared" si="33"/>
        <v>0</v>
      </c>
      <c r="X257" s="346">
        <f t="shared" si="33"/>
        <v>0</v>
      </c>
      <c r="Y257" s="346">
        <f t="shared" si="33"/>
        <v>0</v>
      </c>
      <c r="Z257" s="346">
        <f t="shared" si="33"/>
        <v>0</v>
      </c>
      <c r="AA257" s="346">
        <f t="shared" si="33"/>
        <v>0</v>
      </c>
      <c r="AB257" s="346">
        <f t="shared" si="33"/>
        <v>0</v>
      </c>
      <c r="AC257" s="346">
        <f t="shared" si="33"/>
        <v>0</v>
      </c>
      <c r="AD257" s="346">
        <f t="shared" si="33"/>
        <v>0</v>
      </c>
      <c r="AE257" s="346">
        <f t="shared" si="33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34">IF(C225&lt;100,"",C225-520)</f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35">IF(B226&lt;100,"",B226-620)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36">IF(B227&lt;100,"",B227-330)</f>
        <v/>
      </c>
      <c r="C260" s="347" t="str">
        <f t="shared" si="36"/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37">IF(C228&lt;100,"",C228-1500)</f>
        <v/>
      </c>
      <c r="D261" s="347" t="str">
        <f t="shared" si="37"/>
        <v/>
      </c>
      <c r="E261" s="347" t="str">
        <f t="shared" si="37"/>
        <v/>
      </c>
      <c r="F261" s="347" t="str">
        <f t="shared" si="37"/>
        <v/>
      </c>
      <c r="G261" s="347" t="str">
        <f t="shared" si="37"/>
        <v/>
      </c>
      <c r="H261" s="347" t="str">
        <f t="shared" si="37"/>
        <v/>
      </c>
      <c r="I261" s="347" t="str">
        <f t="shared" si="37"/>
        <v/>
      </c>
      <c r="J261" s="347" t="str">
        <f t="shared" si="37"/>
        <v/>
      </c>
      <c r="K261" s="347" t="str">
        <f t="shared" si="37"/>
        <v/>
      </c>
      <c r="L261" s="347" t="str">
        <f t="shared" si="37"/>
        <v/>
      </c>
      <c r="M261" s="347" t="str">
        <f t="shared" si="37"/>
        <v/>
      </c>
      <c r="N261" s="347" t="str">
        <f t="shared" si="37"/>
        <v/>
      </c>
      <c r="O261" s="347" t="str">
        <f t="shared" si="37"/>
        <v/>
      </c>
      <c r="P261" s="347" t="str">
        <f t="shared" si="37"/>
        <v/>
      </c>
      <c r="Q261" s="347" t="str">
        <f t="shared" si="37"/>
        <v/>
      </c>
      <c r="R261" s="347" t="str">
        <f t="shared" si="37"/>
        <v/>
      </c>
      <c r="S261" s="347" t="str">
        <f t="shared" si="37"/>
        <v/>
      </c>
      <c r="T261" s="347" t="str">
        <f t="shared" si="37"/>
        <v/>
      </c>
      <c r="U261" s="347" t="str">
        <f t="shared" si="37"/>
        <v/>
      </c>
      <c r="V261" s="347" t="str">
        <f t="shared" si="37"/>
        <v/>
      </c>
      <c r="W261" s="347" t="str">
        <f t="shared" si="37"/>
        <v/>
      </c>
      <c r="X261" s="347" t="str">
        <f t="shared" si="37"/>
        <v/>
      </c>
      <c r="Y261" s="347" t="str">
        <f t="shared" si="37"/>
        <v/>
      </c>
      <c r="Z261" s="347" t="str">
        <f t="shared" si="37"/>
        <v/>
      </c>
      <c r="AA261" s="347" t="str">
        <f t="shared" si="37"/>
        <v/>
      </c>
      <c r="AB261" s="347" t="str">
        <f t="shared" si="37"/>
        <v/>
      </c>
      <c r="AC261" s="347" t="str">
        <f t="shared" si="37"/>
        <v/>
      </c>
      <c r="AD261" s="347" t="str">
        <f t="shared" si="37"/>
        <v/>
      </c>
      <c r="AE261" s="347" t="str">
        <f t="shared" si="37"/>
        <v/>
      </c>
      <c r="AF261" s="347" t="str">
        <f t="shared" si="37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B9:AF10 Z11:AF11 C99:AF99 C101:AF106">
    <cfRule type="expression" dxfId="1822" priority="241">
      <formula>B$9&gt;=20/24</formula>
    </cfRule>
    <cfRule type="expression" dxfId="1821" priority="242">
      <formula>AND(B$9&gt;=14/24,B$9&lt;20/24)</formula>
    </cfRule>
    <cfRule type="expression" dxfId="1820" priority="243">
      <formula>AND(B$9&gt;=8/24,B$9&lt;14/24)</formula>
    </cfRule>
    <cfRule type="expression" dxfId="1819" priority="244">
      <formula>B$9&lt;8/24</formula>
    </cfRule>
  </conditionalFormatting>
  <conditionalFormatting sqref="AL4:AL6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X37:AF37">
    <cfRule type="expression" dxfId="1818" priority="236">
      <formula>X$9&gt;=20/24</formula>
    </cfRule>
    <cfRule type="expression" dxfId="1817" priority="237">
      <formula>AND(X$9&gt;=14/24,X$9&lt;20/24)</formula>
    </cfRule>
    <cfRule type="expression" dxfId="1816" priority="238">
      <formula>AND(X$9&gt;=8/24,X$9&lt;14/24)</formula>
    </cfRule>
    <cfRule type="expression" dxfId="1815" priority="239">
      <formula>X$9&lt;8/24</formula>
    </cfRule>
  </conditionalFormatting>
  <conditionalFormatting sqref="AG55 R11:S11 B12:S16 X37:AF37 B35:AF35 T11:AF16">
    <cfRule type="expression" dxfId="1814" priority="235">
      <formula>B11&gt;$AG11</formula>
    </cfRule>
  </conditionalFormatting>
  <conditionalFormatting sqref="A89:A99 A11:A14 A49:A76 A85:A87 A192:A222 A16:A30 A36:A47 A108:A179 A32:A33 A81:A83 A78:A79 A101:A103">
    <cfRule type="expression" dxfId="1813" priority="234">
      <formula>$AH11=0</formula>
    </cfRule>
  </conditionalFormatting>
  <conditionalFormatting sqref="A104">
    <cfRule type="expression" dxfId="1812" priority="233">
      <formula>$AH104=0</formula>
    </cfRule>
  </conditionalFormatting>
  <conditionalFormatting sqref="AL3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811" priority="231">
      <formula>$AH35=0</formula>
    </cfRule>
  </conditionalFormatting>
  <conditionalFormatting sqref="A88">
    <cfRule type="expression" dxfId="1810" priority="230">
      <formula>$AH88=0</formula>
    </cfRule>
  </conditionalFormatting>
  <conditionalFormatting sqref="A15">
    <cfRule type="expression" dxfId="1809" priority="229">
      <formula>$AH15=0</formula>
    </cfRule>
  </conditionalFormatting>
  <conditionalFormatting sqref="A186:A191">
    <cfRule type="expression" dxfId="1808" priority="228">
      <formula>$AH186=0</formula>
    </cfRule>
  </conditionalFormatting>
  <conditionalFormatting sqref="A180:A185">
    <cfRule type="expression" dxfId="1807" priority="227">
      <formula>$AH180=0</formula>
    </cfRule>
  </conditionalFormatting>
  <conditionalFormatting sqref="A48">
    <cfRule type="expression" dxfId="1806" priority="226">
      <formula>$AH48=0</formula>
    </cfRule>
  </conditionalFormatting>
  <conditionalFormatting sqref="A84">
    <cfRule type="expression" dxfId="1805" priority="225">
      <formula>$AH84=0</formula>
    </cfRule>
  </conditionalFormatting>
  <conditionalFormatting sqref="C89:AF89">
    <cfRule type="expression" dxfId="1804" priority="221">
      <formula>C$9&gt;=20/24</formula>
    </cfRule>
    <cfRule type="expression" dxfId="1803" priority="222">
      <formula>AND(C$9&gt;=14/24,C$9&lt;20/24)</formula>
    </cfRule>
    <cfRule type="expression" dxfId="1802" priority="223">
      <formula>AND(C$9&gt;=8/24,C$9&lt;14/24)</formula>
    </cfRule>
    <cfRule type="expression" dxfId="1801" priority="224">
      <formula>C$9&lt;8/24</formula>
    </cfRule>
  </conditionalFormatting>
  <conditionalFormatting sqref="AL34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00" priority="247">
      <formula>C$9&gt;=20/24</formula>
    </cfRule>
    <cfRule type="expression" dxfId="1799" priority="248">
      <formula>AND(C$9&gt;=14/24,C$9&lt;20/24)</formula>
    </cfRule>
    <cfRule type="expression" dxfId="1798" priority="249">
      <formula>AND(C$9&gt;=8/24,C$9&lt;14/24)</formula>
    </cfRule>
    <cfRule type="expression" dxfId="1797" priority="250">
      <formula>C$9&lt;8/24</formula>
    </cfRule>
  </conditionalFormatting>
  <conditionalFormatting sqref="A223">
    <cfRule type="expression" dxfId="1796" priority="251">
      <formula>$AH223=0</formula>
    </cfRule>
  </conditionalFormatting>
  <conditionalFormatting sqref="AG235">
    <cfRule type="expression" dxfId="1795" priority="252">
      <formula>B$9&gt;=20/24</formula>
    </cfRule>
    <cfRule type="expression" dxfId="1794" priority="253">
      <formula>AND(B$9&gt;=14/24,B$9&lt;20/24)</formula>
    </cfRule>
    <cfRule type="expression" dxfId="1793" priority="254">
      <formula>AND(B$9&gt;=8/24,B$9&lt;14/24)</formula>
    </cfRule>
    <cfRule type="expression" dxfId="1792" priority="255">
      <formula>B$9&lt;8/24</formula>
    </cfRule>
  </conditionalFormatting>
  <conditionalFormatting sqref="S8">
    <cfRule type="expression" dxfId="1791" priority="216">
      <formula>U$9&gt;=20/24</formula>
    </cfRule>
    <cfRule type="expression" dxfId="1790" priority="217">
      <formula>AND(U$9&gt;=14/24,U$9&lt;20/24)</formula>
    </cfRule>
    <cfRule type="expression" dxfId="1789" priority="218">
      <formula>AND(U$9&gt;=8/24,U$9&lt;14/24)</formula>
    </cfRule>
    <cfRule type="expression" dxfId="1788" priority="219">
      <formula>U$9&lt;8/24</formula>
    </cfRule>
  </conditionalFormatting>
  <conditionalFormatting sqref="AB8">
    <cfRule type="expression" dxfId="1787" priority="212">
      <formula>AD$9&gt;=20/24</formula>
    </cfRule>
    <cfRule type="expression" dxfId="1786" priority="213">
      <formula>AND(AD$9&gt;=14/24,AD$9&lt;20/24)</formula>
    </cfRule>
    <cfRule type="expression" dxfId="1785" priority="214">
      <formula>AND(AD$9&gt;=8/24,AD$9&lt;14/24)</formula>
    </cfRule>
    <cfRule type="expression" dxfId="1784" priority="215">
      <formula>AD$9&lt;8/24</formula>
    </cfRule>
  </conditionalFormatting>
  <conditionalFormatting sqref="AH235:AX235">
    <cfRule type="expression" dxfId="1783" priority="256">
      <formula>AG$9&gt;=20/24</formula>
    </cfRule>
    <cfRule type="expression" dxfId="1782" priority="257">
      <formula>AND(AG$9&gt;=14/24,AG$9&lt;20/24)</formula>
    </cfRule>
    <cfRule type="expression" dxfId="1781" priority="258">
      <formula>AND(AG$9&gt;=8/24,AG$9&lt;14/24)</formula>
    </cfRule>
    <cfRule type="expression" dxfId="1780" priority="259">
      <formula>AG$9&lt;8/24</formula>
    </cfRule>
  </conditionalFormatting>
  <conditionalFormatting sqref="T235">
    <cfRule type="expression" dxfId="1779" priority="260">
      <formula>AX$9&gt;=20/24</formula>
    </cfRule>
    <cfRule type="expression" dxfId="1778" priority="261">
      <formula>AND(AX$9&gt;=14/24,AX$9&lt;20/24)</formula>
    </cfRule>
    <cfRule type="expression" dxfId="1777" priority="262">
      <formula>AND(AX$9&gt;=8/24,AX$9&lt;14/24)</formula>
    </cfRule>
    <cfRule type="expression" dxfId="1776" priority="263">
      <formula>AX$9&lt;8/24</formula>
    </cfRule>
  </conditionalFormatting>
  <conditionalFormatting sqref="A105:A106">
    <cfRule type="expression" dxfId="1775" priority="211">
      <formula>$AH105=0</formula>
    </cfRule>
  </conditionalFormatting>
  <conditionalFormatting sqref="Z36:AF36 S44:AF45 C61:AF61">
    <cfRule type="expression" dxfId="1774" priority="207">
      <formula>C$9&gt;=20/24</formula>
    </cfRule>
    <cfRule type="expression" dxfId="1773" priority="208">
      <formula>AND(C$9&gt;=14/24,C$9&lt;20/24)</formula>
    </cfRule>
    <cfRule type="expression" dxfId="1772" priority="209">
      <formula>AND(C$9&gt;=8/24,C$9&lt;14/24)</formula>
    </cfRule>
    <cfRule type="expression" dxfId="1771" priority="210">
      <formula>C$9&lt;8/24</formula>
    </cfRule>
  </conditionalFormatting>
  <conditionalFormatting sqref="S43:AF43">
    <cfRule type="expression" dxfId="1770" priority="203">
      <formula>S$9&gt;=20/24</formula>
    </cfRule>
    <cfRule type="expression" dxfId="1769" priority="204">
      <formula>AND(S$9&gt;=14/24,S$9&lt;20/24)</formula>
    </cfRule>
    <cfRule type="expression" dxfId="1768" priority="205">
      <formula>AND(S$9&gt;=8/24,S$9&lt;14/24)</formula>
    </cfRule>
    <cfRule type="expression" dxfId="1767" priority="206">
      <formula>S$9&lt;8/24</formula>
    </cfRule>
  </conditionalFormatting>
  <conditionalFormatting sqref="Z36:AF36 S43:AF45">
    <cfRule type="expression" dxfId="1766" priority="202">
      <formula>S36&gt;$AG36</formula>
    </cfRule>
  </conditionalFormatting>
  <conditionalFormatting sqref="R11 C86:AF86 C62:I63 C90:D90 D91:D96 D64:I64 J62:J64 K64:R64 M37:W37 S18:Y19 K62:AA63 C71:AE71 S64:AA70 AB62:AE70 C73:AF76 Z24:AF26 Z28:AF32 S16:AF16 S12:AF14 Z18:AF22 L57:AF59 AF62:AF71 E90:AF96">
    <cfRule type="expression" dxfId="1765" priority="198">
      <formula>C$9&gt;=20/24</formula>
    </cfRule>
    <cfRule type="expression" dxfId="1764" priority="199">
      <formula>AND(C$9&gt;=14/24,C$9&lt;20/24)</formula>
    </cfRule>
    <cfRule type="expression" dxfId="1763" priority="200">
      <formula>AND(C$9&gt;=8/24,C$9&lt;14/24)</formula>
    </cfRule>
    <cfRule type="expression" dxfId="1762" priority="201">
      <formula>C$9&lt;8/24</formula>
    </cfRule>
  </conditionalFormatting>
  <conditionalFormatting sqref="Z33:AF33">
    <cfRule type="expression" dxfId="1761" priority="194">
      <formula>Z$9&gt;=20/24</formula>
    </cfRule>
    <cfRule type="expression" dxfId="1760" priority="195">
      <formula>AND(Z$9&gt;=14/24,Z$9&lt;20/24)</formula>
    </cfRule>
    <cfRule type="expression" dxfId="1759" priority="196">
      <formula>AND(Z$9&gt;=8/24,Z$9&lt;14/24)</formula>
    </cfRule>
    <cfRule type="expression" dxfId="1758" priority="197">
      <formula>Z$9&lt;8/24</formula>
    </cfRule>
  </conditionalFormatting>
  <conditionalFormatting sqref="R11 C55:AF55 M37:W37 S18:Y19 Z24:AF33 Z18:AF22 AC46:AF47 L57:AF59">
    <cfRule type="expression" dxfId="1757" priority="193">
      <formula>C11&gt;$AG11</formula>
    </cfRule>
  </conditionalFormatting>
  <conditionalFormatting sqref="Z35:AF35">
    <cfRule type="expression" dxfId="1756" priority="189">
      <formula>Z$9&gt;=20/24</formula>
    </cfRule>
    <cfRule type="expression" dxfId="1755" priority="190">
      <formula>AND(Z$9&gt;=14/24,Z$9&lt;20/24)</formula>
    </cfRule>
    <cfRule type="expression" dxfId="1754" priority="191">
      <formula>AND(Z$9&gt;=8/24,Z$9&lt;14/24)</formula>
    </cfRule>
    <cfRule type="expression" dxfId="1753" priority="192">
      <formula>Z$9&lt;8/24</formula>
    </cfRule>
  </conditionalFormatting>
  <conditionalFormatting sqref="S15:AF15">
    <cfRule type="expression" dxfId="1752" priority="185">
      <formula>S$9&gt;=20/24</formula>
    </cfRule>
    <cfRule type="expression" dxfId="1751" priority="186">
      <formula>AND(S$9&gt;=14/24,S$9&lt;20/24)</formula>
    </cfRule>
    <cfRule type="expression" dxfId="1750" priority="187">
      <formula>AND(S$9&gt;=8/24,S$9&lt;14/24)</formula>
    </cfRule>
    <cfRule type="expression" dxfId="1749" priority="188">
      <formula>S$9&lt;8/24</formula>
    </cfRule>
  </conditionalFormatting>
  <conditionalFormatting sqref="Z34:AF34">
    <cfRule type="expression" dxfId="1748" priority="181">
      <formula>Z$9&gt;=20/24</formula>
    </cfRule>
    <cfRule type="expression" dxfId="1747" priority="182">
      <formula>AND(Z$9&gt;=14/24,Z$9&lt;20/24)</formula>
    </cfRule>
    <cfRule type="expression" dxfId="1746" priority="183">
      <formula>AND(Z$9&gt;=8/24,Z$9&lt;14/24)</formula>
    </cfRule>
    <cfRule type="expression" dxfId="1745" priority="184">
      <formula>Z$9&lt;8/24</formula>
    </cfRule>
  </conditionalFormatting>
  <conditionalFormatting sqref="Z34:AF34">
    <cfRule type="expression" dxfId="1744" priority="180">
      <formula>Z34&gt;$AG34</formula>
    </cfRule>
  </conditionalFormatting>
  <conditionalFormatting sqref="S11:Y11">
    <cfRule type="expression" dxfId="1743" priority="176">
      <formula>S$9&gt;=20/24</formula>
    </cfRule>
    <cfRule type="expression" dxfId="1742" priority="177">
      <formula>AND(S$9&gt;=14/24,S$9&lt;20/24)</formula>
    </cfRule>
    <cfRule type="expression" dxfId="1741" priority="178">
      <formula>AND(S$9&gt;=8/24,S$9&lt;14/24)</formula>
    </cfRule>
    <cfRule type="expression" dxfId="1740" priority="179">
      <formula>S$9&lt;8/24</formula>
    </cfRule>
  </conditionalFormatting>
  <conditionalFormatting sqref="AC48:AF54">
    <cfRule type="expression" dxfId="1739" priority="172">
      <formula>AC$9&gt;=20/24</formula>
    </cfRule>
    <cfRule type="expression" dxfId="1738" priority="173">
      <formula>AND(AC$9&gt;=14/24,AC$9&lt;20/24)</formula>
    </cfRule>
    <cfRule type="expression" dxfId="1737" priority="174">
      <formula>AND(AC$9&gt;=8/24,AC$9&lt;14/24)</formula>
    </cfRule>
    <cfRule type="expression" dxfId="1736" priority="175">
      <formula>AC$9&lt;8/24</formula>
    </cfRule>
  </conditionalFormatting>
  <conditionalFormatting sqref="AC48:AF54">
    <cfRule type="expression" dxfId="1735" priority="171">
      <formula>AC48&gt;$AG48</formula>
    </cfRule>
  </conditionalFormatting>
  <conditionalFormatting sqref="M43:P46 N47:P52 Q43:R52 S46:AB52">
    <cfRule type="expression" dxfId="1734" priority="167">
      <formula>M$9&gt;=20/24</formula>
    </cfRule>
    <cfRule type="expression" dxfId="1733" priority="168">
      <formula>AND(M$9&gt;=14/24,M$9&lt;20/24)</formula>
    </cfRule>
    <cfRule type="expression" dxfId="1732" priority="169">
      <formula>AND(M$9&gt;=8/24,M$9&lt;14/24)</formula>
    </cfRule>
    <cfRule type="expression" dxfId="1731" priority="170">
      <formula>M$9&lt;8/24</formula>
    </cfRule>
  </conditionalFormatting>
  <conditionalFormatting sqref="M43:P46 N47:P52 Q43:R52 S46:AB52">
    <cfRule type="expression" dxfId="1730" priority="166">
      <formula>M43&gt;$AG43</formula>
    </cfRule>
  </conditionalFormatting>
  <conditionalFormatting sqref="Z27:AF27">
    <cfRule type="expression" dxfId="1729" priority="162">
      <formula>Z$9&gt;=20/24</formula>
    </cfRule>
    <cfRule type="expression" dxfId="1728" priority="163">
      <formula>AND(Z$9&gt;=14/24,Z$9&lt;20/24)</formula>
    </cfRule>
    <cfRule type="expression" dxfId="1727" priority="164">
      <formula>AND(Z$9&gt;=8/24,Z$9&lt;14/24)</formula>
    </cfRule>
    <cfRule type="expression" dxfId="1726" priority="165">
      <formula>Z$9&lt;8/24</formula>
    </cfRule>
  </conditionalFormatting>
  <conditionalFormatting sqref="S17:AF17 Z23:AF23">
    <cfRule type="expression" dxfId="1725" priority="158">
      <formula>S$9&gt;=20/24</formula>
    </cfRule>
    <cfRule type="expression" dxfId="1724" priority="159">
      <formula>AND(S$9&gt;=14/24,S$9&lt;20/24)</formula>
    </cfRule>
    <cfRule type="expression" dxfId="1723" priority="160">
      <formula>AND(S$9&gt;=8/24,S$9&lt;14/24)</formula>
    </cfRule>
    <cfRule type="expression" dxfId="1722" priority="161">
      <formula>S$9&lt;8/24</formula>
    </cfRule>
  </conditionalFormatting>
  <conditionalFormatting sqref="S17:AF17 Z23:AF23">
    <cfRule type="expression" dxfId="1721" priority="153">
      <formula>S17&gt;$AG17</formula>
    </cfRule>
  </conditionalFormatting>
  <conditionalFormatting sqref="B99 B78:AF78 B87:AF87 B101:B106 B11:Q11">
    <cfRule type="expression" dxfId="1720" priority="108">
      <formula>B$9&gt;=20/24</formula>
    </cfRule>
    <cfRule type="expression" dxfId="1719" priority="109">
      <formula>AND(B$9&gt;=14/24,B$9&lt;20/24)</formula>
    </cfRule>
    <cfRule type="expression" dxfId="1718" priority="110">
      <formula>AND(B$9&gt;=8/24,B$9&lt;14/24)</formula>
    </cfRule>
    <cfRule type="expression" dxfId="1717" priority="111">
      <formula>B$9&lt;8/24</formula>
    </cfRule>
  </conditionalFormatting>
  <conditionalFormatting sqref="B37:L37">
    <cfRule type="expression" dxfId="1716" priority="104">
      <formula>B$9&gt;=20/24</formula>
    </cfRule>
    <cfRule type="expression" dxfId="1715" priority="105">
      <formula>AND(B$9&gt;=14/24,B$9&lt;20/24)</formula>
    </cfRule>
    <cfRule type="expression" dxfId="1714" priority="106">
      <formula>AND(B$9&gt;=8/24,B$9&lt;14/24)</formula>
    </cfRule>
    <cfRule type="expression" dxfId="1713" priority="107">
      <formula>B$9&lt;8/24</formula>
    </cfRule>
  </conditionalFormatting>
  <conditionalFormatting sqref="B37:L37 B11:Q11">
    <cfRule type="expression" dxfId="1712" priority="103">
      <formula>B11&gt;$AG11</formula>
    </cfRule>
  </conditionalFormatting>
  <conditionalFormatting sqref="B89">
    <cfRule type="expression" dxfId="1711" priority="99">
      <formula>B$9&gt;=20/24</formula>
    </cfRule>
    <cfRule type="expression" dxfId="1710" priority="100">
      <formula>AND(B$9&gt;=14/24,B$9&lt;20/24)</formula>
    </cfRule>
    <cfRule type="expression" dxfId="1709" priority="101">
      <formula>AND(B$9&gt;=8/24,B$9&lt;14/24)</formula>
    </cfRule>
    <cfRule type="expression" dxfId="1708" priority="102">
      <formula>B$9&lt;8/24</formula>
    </cfRule>
  </conditionalFormatting>
  <conditionalFormatting sqref="B61 B44:L45 B36:Y36">
    <cfRule type="expression" dxfId="1707" priority="95">
      <formula>B$9&gt;=20/24</formula>
    </cfRule>
    <cfRule type="expression" dxfId="1706" priority="96">
      <formula>AND(B$9&gt;=14/24,B$9&lt;20/24)</formula>
    </cfRule>
    <cfRule type="expression" dxfId="1705" priority="97">
      <formula>AND(B$9&gt;=8/24,B$9&lt;14/24)</formula>
    </cfRule>
    <cfRule type="expression" dxfId="1704" priority="98">
      <formula>B$9&lt;8/24</formula>
    </cfRule>
  </conditionalFormatting>
  <conditionalFormatting sqref="B43:L43">
    <cfRule type="expression" dxfId="1703" priority="91">
      <formula>B$9&gt;=20/24</formula>
    </cfRule>
    <cfRule type="expression" dxfId="1702" priority="92">
      <formula>AND(B$9&gt;=14/24,B$9&lt;20/24)</formula>
    </cfRule>
    <cfRule type="expression" dxfId="1701" priority="93">
      <formula>AND(B$9&gt;=8/24,B$9&lt;14/24)</formula>
    </cfRule>
    <cfRule type="expression" dxfId="1700" priority="94">
      <formula>B$9&lt;8/24</formula>
    </cfRule>
  </conditionalFormatting>
  <conditionalFormatting sqref="B43:L45 B36:Y36">
    <cfRule type="expression" dxfId="1699" priority="90">
      <formula>B36&gt;$AG36</formula>
    </cfRule>
  </conditionalFormatting>
  <conditionalFormatting sqref="B90:B96 B57:B60 B62:B71 B73:B77 B79:AF79 B86 C60:AG60 C77:AG77 B88:AF88 C64:C70 C91:C96 C57:K59 B12:R14 B16:R16 B18:R22 D65:R70 S20:Y22 B24:Y26 B28:Y32">
    <cfRule type="expression" dxfId="1698" priority="86">
      <formula>B$9&gt;=20/24</formula>
    </cfRule>
    <cfRule type="expression" dxfId="1697" priority="87">
      <formula>AND(B$9&gt;=14/24,B$9&lt;20/24)</formula>
    </cfRule>
    <cfRule type="expression" dxfId="1696" priority="88">
      <formula>AND(B$9&gt;=8/24,B$9&lt;14/24)</formula>
    </cfRule>
    <cfRule type="expression" dxfId="1695" priority="89">
      <formula>B$9&lt;8/24</formula>
    </cfRule>
  </conditionalFormatting>
  <conditionalFormatting sqref="B33:Y33">
    <cfRule type="expression" dxfId="1694" priority="82">
      <formula>B$9&gt;=20/24</formula>
    </cfRule>
    <cfRule type="expression" dxfId="1693" priority="83">
      <formula>AND(B$9&gt;=14/24,B$9&lt;20/24)</formula>
    </cfRule>
    <cfRule type="expression" dxfId="1692" priority="84">
      <formula>AND(B$9&gt;=8/24,B$9&lt;14/24)</formula>
    </cfRule>
    <cfRule type="expression" dxfId="1691" priority="85">
      <formula>B$9&lt;8/24</formula>
    </cfRule>
  </conditionalFormatting>
  <conditionalFormatting sqref="B55:B60 B38:AG38 C56:AG56 C60:AG60 C57:K59 B46:L47 M47 B18:R22 S20:Y22 B24:Y33">
    <cfRule type="expression" dxfId="1690" priority="81">
      <formula>B18&gt;$AG18</formula>
    </cfRule>
  </conditionalFormatting>
  <conditionalFormatting sqref="B35:Y35">
    <cfRule type="expression" dxfId="1689" priority="77">
      <formula>B$9&gt;=20/24</formula>
    </cfRule>
    <cfRule type="expression" dxfId="1688" priority="78">
      <formula>AND(B$9&gt;=14/24,B$9&lt;20/24)</formula>
    </cfRule>
    <cfRule type="expression" dxfId="1687" priority="79">
      <formula>AND(B$9&gt;=8/24,B$9&lt;14/24)</formula>
    </cfRule>
    <cfRule type="expression" dxfId="1686" priority="80">
      <formula>B$9&lt;8/24</formula>
    </cfRule>
  </conditionalFormatting>
  <conditionalFormatting sqref="B15:R15">
    <cfRule type="expression" dxfId="1685" priority="73">
      <formula>B$9&gt;=20/24</formula>
    </cfRule>
    <cfRule type="expression" dxfId="1684" priority="74">
      <formula>AND(B$9&gt;=14/24,B$9&lt;20/24)</formula>
    </cfRule>
    <cfRule type="expression" dxfId="1683" priority="75">
      <formula>AND(B$9&gt;=8/24,B$9&lt;14/24)</formula>
    </cfRule>
    <cfRule type="expression" dxfId="1682" priority="76">
      <formula>B$9&lt;8/24</formula>
    </cfRule>
  </conditionalFormatting>
  <conditionalFormatting sqref="B34:Y34">
    <cfRule type="expression" dxfId="1681" priority="69">
      <formula>B$9&gt;=20/24</formula>
    </cfRule>
    <cfRule type="expression" dxfId="1680" priority="70">
      <formula>AND(B$9&gt;=14/24,B$9&lt;20/24)</formula>
    </cfRule>
    <cfRule type="expression" dxfId="1679" priority="71">
      <formula>AND(B$9&gt;=8/24,B$9&lt;14/24)</formula>
    </cfRule>
    <cfRule type="expression" dxfId="1678" priority="72">
      <formula>B$9&lt;8/24</formula>
    </cfRule>
  </conditionalFormatting>
  <conditionalFormatting sqref="B34:Y34">
    <cfRule type="expression" dxfId="1677" priority="68">
      <formula>B34&gt;$AG34</formula>
    </cfRule>
  </conditionalFormatting>
  <conditionalFormatting sqref="B48:M54 N53:AB54">
    <cfRule type="expression" dxfId="1676" priority="64">
      <formula>B$9&gt;=20/24</formula>
    </cfRule>
    <cfRule type="expression" dxfId="1675" priority="65">
      <formula>AND(B$9&gt;=14/24,B$9&lt;20/24)</formula>
    </cfRule>
    <cfRule type="expression" dxfId="1674" priority="66">
      <formula>AND(B$9&gt;=8/24,B$9&lt;14/24)</formula>
    </cfRule>
    <cfRule type="expression" dxfId="1673" priority="67">
      <formula>B$9&lt;8/24</formula>
    </cfRule>
  </conditionalFormatting>
  <conditionalFormatting sqref="B48:M54 N53:AB54">
    <cfRule type="expression" dxfId="1672" priority="63">
      <formula>B48&gt;$AG48</formula>
    </cfRule>
  </conditionalFormatting>
  <conditionalFormatting sqref="B27:Y27">
    <cfRule type="expression" dxfId="1671" priority="59">
      <formula>B$9&gt;=20/24</formula>
    </cfRule>
    <cfRule type="expression" dxfId="1670" priority="60">
      <formula>AND(B$9&gt;=14/24,B$9&lt;20/24)</formula>
    </cfRule>
    <cfRule type="expression" dxfId="1669" priority="61">
      <formula>AND(B$9&gt;=8/24,B$9&lt;14/24)</formula>
    </cfRule>
    <cfRule type="expression" dxfId="1668" priority="62">
      <formula>B$9&lt;8/24</formula>
    </cfRule>
  </conditionalFormatting>
  <conditionalFormatting sqref="B17:R17 B23:Y23">
    <cfRule type="expression" dxfId="1667" priority="55">
      <formula>B$9&gt;=20/24</formula>
    </cfRule>
    <cfRule type="expression" dxfId="1666" priority="56">
      <formula>AND(B$9&gt;=14/24,B$9&lt;20/24)</formula>
    </cfRule>
    <cfRule type="expression" dxfId="1665" priority="57">
      <formula>AND(B$9&gt;=8/24,B$9&lt;14/24)</formula>
    </cfRule>
    <cfRule type="expression" dxfId="1664" priority="58">
      <formula>B$9&lt;8/24</formula>
    </cfRule>
  </conditionalFormatting>
  <conditionalFormatting sqref="B17:R17 B23:Y23">
    <cfRule type="expression" dxfId="1663" priority="54">
      <formula>B17&gt;$AG17</formula>
    </cfRule>
  </conditionalFormatting>
  <conditionalFormatting sqref="A34">
    <cfRule type="expression" dxfId="1662" priority="53">
      <formula>$AH34=0</formula>
    </cfRule>
  </conditionalFormatting>
  <conditionalFormatting sqref="B72:AF72">
    <cfRule type="expression" dxfId="1661" priority="49">
      <formula>B$9&gt;=20/24</formula>
    </cfRule>
    <cfRule type="expression" dxfId="1660" priority="50">
      <formula>AND(B$9&gt;=14/24,B$9&lt;20/24)</formula>
    </cfRule>
    <cfRule type="expression" dxfId="1659" priority="51">
      <formula>AND(B$9&gt;=8/24,B$9&lt;14/24)</formula>
    </cfRule>
    <cfRule type="expression" dxfId="1658" priority="52">
      <formula>B$9&lt;8/24</formula>
    </cfRule>
  </conditionalFormatting>
  <conditionalFormatting sqref="B81:AF85">
    <cfRule type="expression" dxfId="1657" priority="45">
      <formula>B$9&gt;=20/24</formula>
    </cfRule>
    <cfRule type="expression" dxfId="1656" priority="46">
      <formula>AND(B$9&gt;=14/24,B$9&lt;20/24)</formula>
    </cfRule>
    <cfRule type="expression" dxfId="1655" priority="47">
      <formula>AND(B$9&gt;=8/24,B$9&lt;14/24)</formula>
    </cfRule>
    <cfRule type="expression" dxfId="1654" priority="48">
      <formula>B$9&lt;8/24</formula>
    </cfRule>
  </conditionalFormatting>
  <conditionalFormatting sqref="AL35 AL7:AL30 AL32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S39:AF41">
    <cfRule type="expression" dxfId="1653" priority="41">
      <formula>S$9&gt;=20/24</formula>
    </cfRule>
    <cfRule type="expression" dxfId="1652" priority="42">
      <formula>AND(S$9&gt;=14/24,S$9&lt;20/24)</formula>
    </cfRule>
    <cfRule type="expression" dxfId="1651" priority="43">
      <formula>AND(S$9&gt;=8/24,S$9&lt;14/24)</formula>
    </cfRule>
    <cfRule type="expression" dxfId="1650" priority="44">
      <formula>S$9&lt;8/24</formula>
    </cfRule>
  </conditionalFormatting>
  <conditionalFormatting sqref="S39:AF41">
    <cfRule type="expression" dxfId="1649" priority="40">
      <formula>S39&gt;$AG39</formula>
    </cfRule>
  </conditionalFormatting>
  <conditionalFormatting sqref="B39:B42 C39:R41 C42:AG42">
    <cfRule type="expression" dxfId="1648" priority="36">
      <formula>B$9&gt;=20/24</formula>
    </cfRule>
    <cfRule type="expression" dxfId="1647" priority="37">
      <formula>AND(B$9&gt;=14/24,B$9&lt;20/24)</formula>
    </cfRule>
    <cfRule type="expression" dxfId="1646" priority="38">
      <formula>AND(B$9&gt;=8/24,B$9&lt;14/24)</formula>
    </cfRule>
    <cfRule type="expression" dxfId="1645" priority="39">
      <formula>B$9&lt;8/24</formula>
    </cfRule>
  </conditionalFormatting>
  <conditionalFormatting sqref="B39:B42 C39:R41 C42:AG42">
    <cfRule type="expression" dxfId="1644" priority="35">
      <formula>B39&gt;$AG39</formula>
    </cfRule>
  </conditionalFormatting>
  <conditionalFormatting sqref="C97:AF97">
    <cfRule type="expression" dxfId="1643" priority="31">
      <formula>C$9&gt;=20/24</formula>
    </cfRule>
    <cfRule type="expression" dxfId="1642" priority="32">
      <formula>AND(C$9&gt;=14/24,C$9&lt;20/24)</formula>
    </cfRule>
    <cfRule type="expression" dxfId="1641" priority="33">
      <formula>AND(C$9&gt;=8/24,C$9&lt;14/24)</formula>
    </cfRule>
    <cfRule type="expression" dxfId="1640" priority="34">
      <formula>C$9&lt;8/24</formula>
    </cfRule>
  </conditionalFormatting>
  <conditionalFormatting sqref="B97">
    <cfRule type="expression" dxfId="1639" priority="27">
      <formula>B$9&gt;=20/24</formula>
    </cfRule>
    <cfRule type="expression" dxfId="1638" priority="28">
      <formula>AND(B$9&gt;=14/24,B$9&lt;20/24)</formula>
    </cfRule>
    <cfRule type="expression" dxfId="1637" priority="29">
      <formula>AND(B$9&gt;=8/24,B$9&lt;14/24)</formula>
    </cfRule>
    <cfRule type="expression" dxfId="1636" priority="30">
      <formula>B$9&lt;8/24</formula>
    </cfRule>
  </conditionalFormatting>
  <conditionalFormatting sqref="AL31">
    <cfRule type="iconSet" priority="2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635" priority="21">
      <formula>$AH31=0</formula>
    </cfRule>
  </conditionalFormatting>
  <conditionalFormatting sqref="A80">
    <cfRule type="expression" dxfId="1634" priority="19">
      <formula>$AH80=0</formula>
    </cfRule>
  </conditionalFormatting>
  <conditionalFormatting sqref="A77">
    <cfRule type="expression" dxfId="1633" priority="20">
      <formula>$AH77=0</formula>
    </cfRule>
  </conditionalFormatting>
  <conditionalFormatting sqref="A107">
    <cfRule type="expression" dxfId="1632" priority="10">
      <formula>$AH107=0</formula>
    </cfRule>
  </conditionalFormatting>
  <conditionalFormatting sqref="C100:AF100">
    <cfRule type="expression" dxfId="1631" priority="6">
      <formula>C$9&gt;=20/24</formula>
    </cfRule>
    <cfRule type="expression" dxfId="1630" priority="7">
      <formula>AND(C$9&gt;=14/24,C$9&lt;20/24)</formula>
    </cfRule>
    <cfRule type="expression" dxfId="1629" priority="8">
      <formula>AND(C$9&gt;=8/24,C$9&lt;14/24)</formula>
    </cfRule>
    <cfRule type="expression" dxfId="1628" priority="9">
      <formula>C$9&lt;8/24</formula>
    </cfRule>
  </conditionalFormatting>
  <conditionalFormatting sqref="A100">
    <cfRule type="expression" dxfId="1627" priority="5">
      <formula>$AH100=0</formula>
    </cfRule>
  </conditionalFormatting>
  <conditionalFormatting sqref="B100">
    <cfRule type="expression" dxfId="1626" priority="1">
      <formula>B$9&gt;=20/24</formula>
    </cfRule>
    <cfRule type="expression" dxfId="1625" priority="2">
      <formula>AND(B$9&gt;=14/24,B$9&lt;20/24)</formula>
    </cfRule>
    <cfRule type="expression" dxfId="1624" priority="3">
      <formula>AND(B$9&gt;=8/24,B$9&lt;14/24)</formula>
    </cfRule>
    <cfRule type="expression" dxfId="1623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0FAC2509-EE44-4FAA-BAEE-E43CE9105A2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C0101EBB-FF58-4EEF-9209-73397B7E678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id="{E4B1D1F6-60B8-42AC-8FDF-BC2522B945A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" id="{D862FDF2-C68D-4578-9BA0-DB9D321A7F2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5" id="{D2C3EE43-414B-4B7B-A887-C4EC4E66234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393E6530-52CF-4AFA-8F90-06664B2FD32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FBC1394F-F91E-42EA-9708-FE6FBFB34F1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1CA93393-63DD-4CEC-8F26-10D2E7BAB6D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11" id="{450A6BD6-39FA-4712-B9B7-5388076E340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12101E4B-E750-4048-B38C-736299A0239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365BA63B-CE6A-4383-8F5A-F3E2777F2FE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" id="{05B6B9C9-F2FC-4CB4-88D5-11D036AF269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CJ494"/>
  <sheetViews>
    <sheetView zoomScale="90" zoomScaleNormal="90" workbookViewId="0">
      <pane xSplit="1" ySplit="10" topLeftCell="B80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7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"2079/"&amp;"05/"&amp;INT(MID(CELL("filename",D6),FIND("]",CELL("filename",D6))+1,200))</f>
        <v>2079/05/28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11.3</v>
      </c>
      <c r="C5" s="205">
        <f t="shared" si="0"/>
        <v>9.1999999999999993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5</v>
      </c>
      <c r="M5" s="205">
        <f t="shared" si="0"/>
        <v>9</v>
      </c>
      <c r="N5" s="205">
        <f t="shared" si="0"/>
        <v>16</v>
      </c>
      <c r="O5" s="205">
        <f t="shared" si="0"/>
        <v>20.2</v>
      </c>
      <c r="P5" s="205">
        <f t="shared" si="0"/>
        <v>14.73</v>
      </c>
      <c r="Q5" s="205">
        <f t="shared" si="0"/>
        <v>12</v>
      </c>
      <c r="R5" s="205">
        <f t="shared" si="0"/>
        <v>40.869999999999997</v>
      </c>
      <c r="S5" s="205">
        <f t="shared" si="0"/>
        <v>8.5</v>
      </c>
      <c r="T5" s="205">
        <f t="shared" si="0"/>
        <v>5</v>
      </c>
      <c r="U5" s="205">
        <f t="shared" si="0"/>
        <v>6</v>
      </c>
      <c r="V5" s="205">
        <f t="shared" si="0"/>
        <v>0</v>
      </c>
      <c r="W5" s="205">
        <f t="shared" si="0"/>
        <v>17</v>
      </c>
      <c r="X5" s="205">
        <f t="shared" si="0"/>
        <v>24.6</v>
      </c>
      <c r="Y5" s="205">
        <f t="shared" si="0"/>
        <v>47.5</v>
      </c>
      <c r="Z5" s="205">
        <f t="shared" si="0"/>
        <v>40.799999999999997</v>
      </c>
      <c r="AA5" s="205">
        <f t="shared" si="0"/>
        <v>5</v>
      </c>
      <c r="AB5" s="205">
        <f t="shared" si="0"/>
        <v>5</v>
      </c>
      <c r="AC5" s="205">
        <f t="shared" si="0"/>
        <v>27</v>
      </c>
      <c r="AD5" s="205">
        <f t="shared" si="0"/>
        <v>26</v>
      </c>
      <c r="AE5" s="205">
        <f t="shared" si="0"/>
        <v>26</v>
      </c>
      <c r="AF5" s="205">
        <f>B72</f>
        <v>19.5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1745MW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Load=1622</v>
      </c>
      <c r="B7" s="210">
        <f>B79</f>
        <v>1753.6399999999999</v>
      </c>
      <c r="C7" s="210">
        <f t="shared" ref="C7:AF7" si="1">C79</f>
        <v>1745.4399999999998</v>
      </c>
      <c r="D7" s="210">
        <f t="shared" si="1"/>
        <v>1686.24</v>
      </c>
      <c r="E7" s="210">
        <f t="shared" si="1"/>
        <v>1660.24</v>
      </c>
      <c r="F7" s="210">
        <f t="shared" si="1"/>
        <v>1651.84</v>
      </c>
      <c r="G7" s="210">
        <f t="shared" si="1"/>
        <v>1621.64</v>
      </c>
      <c r="H7" s="210">
        <f t="shared" si="1"/>
        <v>1657.74</v>
      </c>
      <c r="I7" s="210">
        <f t="shared" si="1"/>
        <v>1656.44</v>
      </c>
      <c r="J7" s="210">
        <f t="shared" si="1"/>
        <v>1665.64</v>
      </c>
      <c r="K7" s="210">
        <f t="shared" si="1"/>
        <v>1743.54</v>
      </c>
      <c r="L7" s="210">
        <f t="shared" si="1"/>
        <v>1737.94</v>
      </c>
      <c r="M7" s="210">
        <f t="shared" si="1"/>
        <v>1744.94</v>
      </c>
      <c r="N7" s="210">
        <f t="shared" si="1"/>
        <v>1727.8400000000001</v>
      </c>
      <c r="O7" s="210">
        <f t="shared" si="1"/>
        <v>1707.44</v>
      </c>
      <c r="P7" s="210">
        <f t="shared" si="1"/>
        <v>1800.0400000000002</v>
      </c>
      <c r="Q7" s="210">
        <f t="shared" si="1"/>
        <v>1802.67</v>
      </c>
      <c r="R7" s="210">
        <f t="shared" si="1"/>
        <v>1780.44</v>
      </c>
      <c r="S7" s="210">
        <f t="shared" si="1"/>
        <v>1801.61</v>
      </c>
      <c r="T7" s="210">
        <f t="shared" si="1"/>
        <v>1811.3400000000001</v>
      </c>
      <c r="U7" s="210">
        <f t="shared" si="1"/>
        <v>1798.8400000000001</v>
      </c>
      <c r="V7" s="210">
        <f t="shared" si="1"/>
        <v>1799.8400000000001</v>
      </c>
      <c r="W7" s="210">
        <f t="shared" si="1"/>
        <v>1793.8400000000001</v>
      </c>
      <c r="X7" s="210">
        <f t="shared" si="1"/>
        <v>1806.7400000000002</v>
      </c>
      <c r="Y7" s="210">
        <f t="shared" si="1"/>
        <v>1799.3400000000001</v>
      </c>
      <c r="Z7" s="210">
        <f t="shared" si="1"/>
        <v>1851.94</v>
      </c>
      <c r="AA7" s="210">
        <f t="shared" si="1"/>
        <v>1824.14</v>
      </c>
      <c r="AB7" s="210">
        <f t="shared" si="1"/>
        <v>1792.3400000000001</v>
      </c>
      <c r="AC7" s="210">
        <f t="shared" si="1"/>
        <v>1792.1399999999999</v>
      </c>
      <c r="AD7" s="210">
        <f t="shared" si="1"/>
        <v>1829.24</v>
      </c>
      <c r="AE7" s="210">
        <f t="shared" si="1"/>
        <v>1780.5400000000002</v>
      </c>
      <c r="AF7" s="210">
        <f t="shared" si="1"/>
        <v>1744.64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52.4</v>
      </c>
      <c r="C11" s="221">
        <v>52.4</v>
      </c>
      <c r="D11" s="221">
        <v>52.4</v>
      </c>
      <c r="E11" s="221">
        <v>52.3</v>
      </c>
      <c r="F11" s="221">
        <v>52.2</v>
      </c>
      <c r="G11" s="221">
        <v>52.3</v>
      </c>
      <c r="H11" s="221">
        <v>52.2</v>
      </c>
      <c r="I11" s="221">
        <v>52.3</v>
      </c>
      <c r="J11" s="221">
        <v>52.3</v>
      </c>
      <c r="K11" s="221">
        <v>52.2</v>
      </c>
      <c r="L11" s="221">
        <v>52.2</v>
      </c>
      <c r="M11" s="221">
        <v>52.1</v>
      </c>
      <c r="N11" s="221">
        <v>52.1</v>
      </c>
      <c r="O11" s="221">
        <v>52.4</v>
      </c>
      <c r="P11" s="221">
        <v>52.4</v>
      </c>
      <c r="Q11" s="221">
        <v>52.4</v>
      </c>
      <c r="R11" s="221">
        <v>52.4</v>
      </c>
      <c r="S11" s="221">
        <v>52.4</v>
      </c>
      <c r="T11" s="221">
        <v>52.4</v>
      </c>
      <c r="U11" s="221">
        <v>52.4</v>
      </c>
      <c r="V11" s="221">
        <v>52.4</v>
      </c>
      <c r="W11" s="221">
        <v>52.4</v>
      </c>
      <c r="X11" s="221">
        <v>52.4</v>
      </c>
      <c r="Y11" s="221">
        <v>52.4</v>
      </c>
      <c r="Z11" s="224">
        <v>52.4</v>
      </c>
      <c r="AA11" s="224">
        <v>52.4</v>
      </c>
      <c r="AB11" s="224">
        <v>52.8</v>
      </c>
      <c r="AC11" s="224">
        <v>52.8</v>
      </c>
      <c r="AD11" s="224">
        <v>52.9</v>
      </c>
      <c r="AE11" s="224">
        <v>52.9</v>
      </c>
      <c r="AF11" s="224">
        <v>52.9</v>
      </c>
      <c r="AG11" s="225">
        <v>52.4</v>
      </c>
      <c r="AH11" s="226">
        <f>MAX(B11:AF11)</f>
        <v>52.9</v>
      </c>
      <c r="AI11" s="227">
        <f>MIN(B11:AF11)</f>
        <v>52.1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50.5</v>
      </c>
      <c r="C12" s="221">
        <v>50.5</v>
      </c>
      <c r="D12" s="221">
        <v>50.5</v>
      </c>
      <c r="E12" s="221">
        <v>50.2</v>
      </c>
      <c r="F12" s="221">
        <v>50.5</v>
      </c>
      <c r="G12" s="221">
        <v>50.2</v>
      </c>
      <c r="H12" s="221">
        <v>50.4</v>
      </c>
      <c r="I12" s="221">
        <v>50.2</v>
      </c>
      <c r="J12" s="221">
        <v>50.4</v>
      </c>
      <c r="K12" s="221">
        <v>50.4</v>
      </c>
      <c r="L12" s="221">
        <v>50.4</v>
      </c>
      <c r="M12" s="221">
        <v>50.2</v>
      </c>
      <c r="N12" s="221">
        <v>50.2</v>
      </c>
      <c r="O12" s="221">
        <v>50.2</v>
      </c>
      <c r="P12" s="221">
        <v>50.2</v>
      </c>
      <c r="Q12" s="221">
        <v>50.2</v>
      </c>
      <c r="R12" s="221">
        <v>50.2</v>
      </c>
      <c r="S12" s="221">
        <v>50.2</v>
      </c>
      <c r="T12" s="221">
        <v>50.2</v>
      </c>
      <c r="U12" s="221">
        <v>50.2</v>
      </c>
      <c r="V12" s="221">
        <v>50.2</v>
      </c>
      <c r="W12" s="221">
        <v>50.2</v>
      </c>
      <c r="X12" s="221">
        <v>50.2</v>
      </c>
      <c r="Y12" s="221">
        <v>50.2</v>
      </c>
      <c r="Z12" s="221">
        <v>50.2</v>
      </c>
      <c r="AA12" s="221">
        <v>50.2</v>
      </c>
      <c r="AB12" s="221">
        <v>50.5</v>
      </c>
      <c r="AC12" s="221">
        <v>50.5</v>
      </c>
      <c r="AD12" s="221">
        <v>50.4</v>
      </c>
      <c r="AE12" s="221">
        <v>50.4</v>
      </c>
      <c r="AF12" s="221">
        <v>50.4</v>
      </c>
      <c r="AG12" s="229">
        <v>50</v>
      </c>
      <c r="AH12" s="226">
        <f t="shared" ref="AH12:AH79" si="2">MAX(B12:AF12)</f>
        <v>50.5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45.9</v>
      </c>
      <c r="J13" s="221">
        <v>46</v>
      </c>
      <c r="K13" s="221">
        <v>46</v>
      </c>
      <c r="L13" s="221">
        <v>46</v>
      </c>
      <c r="M13" s="221">
        <v>46</v>
      </c>
      <c r="N13" s="221">
        <v>46</v>
      </c>
      <c r="O13" s="221">
        <v>46</v>
      </c>
      <c r="P13" s="221">
        <v>46</v>
      </c>
      <c r="Q13" s="221">
        <v>46</v>
      </c>
      <c r="R13" s="221">
        <v>46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45.9</v>
      </c>
      <c r="AC13" s="221">
        <v>45.9</v>
      </c>
      <c r="AD13" s="221">
        <v>46.1</v>
      </c>
      <c r="AE13" s="221">
        <v>30</v>
      </c>
      <c r="AF13" s="221">
        <v>30</v>
      </c>
      <c r="AG13" s="229">
        <v>45</v>
      </c>
      <c r="AH13" s="226">
        <f t="shared" si="2"/>
        <v>46.1</v>
      </c>
      <c r="AI13" s="227">
        <f t="shared" si="3"/>
        <v>30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38</v>
      </c>
      <c r="C14" s="221">
        <v>38</v>
      </c>
      <c r="D14" s="221">
        <v>38</v>
      </c>
      <c r="E14" s="221">
        <v>32</v>
      </c>
      <c r="F14" s="221">
        <v>32</v>
      </c>
      <c r="G14" s="221">
        <v>27</v>
      </c>
      <c r="H14" s="221">
        <v>27</v>
      </c>
      <c r="I14" s="221">
        <v>27</v>
      </c>
      <c r="J14" s="221">
        <v>14</v>
      </c>
      <c r="K14" s="221">
        <v>40</v>
      </c>
      <c r="L14" s="221">
        <v>40</v>
      </c>
      <c r="M14" s="221">
        <v>35</v>
      </c>
      <c r="N14" s="221">
        <v>35</v>
      </c>
      <c r="O14" s="221">
        <v>35</v>
      </c>
      <c r="P14" s="221">
        <v>35</v>
      </c>
      <c r="Q14" s="221">
        <v>35</v>
      </c>
      <c r="R14" s="221">
        <v>35</v>
      </c>
      <c r="S14" s="221">
        <v>35</v>
      </c>
      <c r="T14" s="221">
        <v>35</v>
      </c>
      <c r="U14" s="221">
        <v>35</v>
      </c>
      <c r="V14" s="221">
        <v>35</v>
      </c>
      <c r="W14" s="221">
        <v>35</v>
      </c>
      <c r="X14" s="221">
        <v>35</v>
      </c>
      <c r="Y14" s="221">
        <v>35</v>
      </c>
      <c r="Z14" s="221">
        <v>35</v>
      </c>
      <c r="AA14" s="221">
        <v>35</v>
      </c>
      <c r="AB14" s="221">
        <v>36</v>
      </c>
      <c r="AC14" s="221">
        <v>36</v>
      </c>
      <c r="AD14" s="221">
        <v>36</v>
      </c>
      <c r="AE14" s="221">
        <v>36</v>
      </c>
      <c r="AF14" s="221">
        <v>30</v>
      </c>
      <c r="AG14" s="229">
        <v>42</v>
      </c>
      <c r="AH14" s="226">
        <f t="shared" si="2"/>
        <v>40</v>
      </c>
      <c r="AI14" s="227">
        <f t="shared" si="3"/>
        <v>14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10.6</v>
      </c>
      <c r="C15" s="221">
        <v>10.6</v>
      </c>
      <c r="D15" s="221">
        <v>10.6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30</v>
      </c>
      <c r="K15" s="221">
        <v>30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30</v>
      </c>
      <c r="R15" s="221">
        <v>10.5</v>
      </c>
      <c r="S15" s="221">
        <v>20</v>
      </c>
      <c r="T15" s="221">
        <v>30</v>
      </c>
      <c r="U15" s="221">
        <v>30</v>
      </c>
      <c r="V15" s="221">
        <v>30</v>
      </c>
      <c r="W15" s="221">
        <v>30</v>
      </c>
      <c r="X15" s="221">
        <v>30</v>
      </c>
      <c r="Y15" s="221">
        <v>30</v>
      </c>
      <c r="Z15" s="221">
        <v>30</v>
      </c>
      <c r="AA15" s="221">
        <v>30</v>
      </c>
      <c r="AB15" s="221">
        <v>30</v>
      </c>
      <c r="AC15" s="221">
        <v>30</v>
      </c>
      <c r="AD15" s="221">
        <v>30</v>
      </c>
      <c r="AE15" s="221">
        <v>15</v>
      </c>
      <c r="AF15" s="221">
        <v>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</v>
      </c>
      <c r="C16" s="221">
        <v>25</v>
      </c>
      <c r="D16" s="221">
        <v>25</v>
      </c>
      <c r="E16" s="221">
        <v>25.1</v>
      </c>
      <c r="F16" s="221">
        <v>25.1</v>
      </c>
      <c r="G16" s="221">
        <v>25</v>
      </c>
      <c r="H16" s="221">
        <v>25.1</v>
      </c>
      <c r="I16" s="221">
        <v>25.1</v>
      </c>
      <c r="J16" s="221">
        <v>25.2</v>
      </c>
      <c r="K16" s="221">
        <v>20.3</v>
      </c>
      <c r="L16" s="221">
        <v>25.2</v>
      </c>
      <c r="M16" s="221">
        <v>25.4</v>
      </c>
      <c r="N16" s="221">
        <v>0</v>
      </c>
      <c r="O16" s="221">
        <v>0</v>
      </c>
      <c r="P16" s="221">
        <v>25.1</v>
      </c>
      <c r="Q16" s="221">
        <v>25.1</v>
      </c>
      <c r="R16" s="221">
        <v>25.1</v>
      </c>
      <c r="S16" s="221">
        <v>25.1</v>
      </c>
      <c r="T16" s="221">
        <v>25.1</v>
      </c>
      <c r="U16" s="221">
        <v>25.1</v>
      </c>
      <c r="V16" s="221">
        <v>25.1</v>
      </c>
      <c r="W16" s="221">
        <v>25.1</v>
      </c>
      <c r="X16" s="221">
        <v>25.1</v>
      </c>
      <c r="Y16" s="221">
        <v>25.1</v>
      </c>
      <c r="Z16" s="221">
        <v>25.1</v>
      </c>
      <c r="AA16" s="221">
        <v>25.1</v>
      </c>
      <c r="AB16" s="221">
        <v>25.1</v>
      </c>
      <c r="AC16" s="221">
        <v>25.1</v>
      </c>
      <c r="AD16" s="221">
        <v>25.1</v>
      </c>
      <c r="AE16" s="221">
        <v>25.1</v>
      </c>
      <c r="AF16" s="221">
        <v>25.1</v>
      </c>
      <c r="AG16" s="229">
        <v>25</v>
      </c>
      <c r="AH16" s="226">
        <f t="shared" si="2"/>
        <v>25.4</v>
      </c>
      <c r="AI16" s="227">
        <f t="shared" si="3"/>
        <v>0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23</v>
      </c>
      <c r="C17" s="221">
        <v>23</v>
      </c>
      <c r="D17" s="221">
        <v>23</v>
      </c>
      <c r="E17" s="221">
        <v>23</v>
      </c>
      <c r="F17" s="221">
        <v>23</v>
      </c>
      <c r="G17" s="221">
        <v>23</v>
      </c>
      <c r="H17" s="221">
        <v>23</v>
      </c>
      <c r="I17" s="221">
        <v>23</v>
      </c>
      <c r="J17" s="221">
        <v>23</v>
      </c>
      <c r="K17" s="221">
        <v>23</v>
      </c>
      <c r="L17" s="221">
        <v>23</v>
      </c>
      <c r="M17" s="221">
        <v>25</v>
      </c>
      <c r="N17" s="221">
        <v>25</v>
      </c>
      <c r="O17" s="221">
        <v>22</v>
      </c>
      <c r="P17" s="221">
        <v>22</v>
      </c>
      <c r="Q17" s="221">
        <v>22</v>
      </c>
      <c r="R17" s="221">
        <v>22</v>
      </c>
      <c r="S17" s="221">
        <v>22</v>
      </c>
      <c r="T17" s="221">
        <v>22</v>
      </c>
      <c r="U17" s="221">
        <v>22</v>
      </c>
      <c r="V17" s="221">
        <v>22</v>
      </c>
      <c r="W17" s="221">
        <v>22</v>
      </c>
      <c r="X17" s="221">
        <v>22</v>
      </c>
      <c r="Y17" s="221">
        <v>22</v>
      </c>
      <c r="Z17" s="221">
        <v>22</v>
      </c>
      <c r="AA17" s="221">
        <v>22</v>
      </c>
      <c r="AB17" s="221">
        <v>22</v>
      </c>
      <c r="AC17" s="221">
        <v>22</v>
      </c>
      <c r="AD17" s="221">
        <v>22</v>
      </c>
      <c r="AE17" s="221">
        <v>22</v>
      </c>
      <c r="AF17" s="221">
        <v>22</v>
      </c>
      <c r="AG17" s="229">
        <v>25</v>
      </c>
      <c r="AH17" s="226">
        <f t="shared" si="2"/>
        <v>25</v>
      </c>
      <c r="AI17" s="227">
        <f t="shared" si="3"/>
        <v>22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22</v>
      </c>
      <c r="G18" s="221">
        <v>22</v>
      </c>
      <c r="H18" s="221">
        <v>22</v>
      </c>
      <c r="I18" s="221">
        <v>22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22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26</v>
      </c>
      <c r="C19" s="221">
        <v>26</v>
      </c>
      <c r="D19" s="221">
        <v>26</v>
      </c>
      <c r="E19" s="221">
        <v>26</v>
      </c>
      <c r="F19" s="221">
        <v>26</v>
      </c>
      <c r="G19" s="221">
        <v>26</v>
      </c>
      <c r="H19" s="221">
        <v>26</v>
      </c>
      <c r="I19" s="221">
        <v>26</v>
      </c>
      <c r="J19" s="221">
        <v>26</v>
      </c>
      <c r="K19" s="221">
        <v>33.200000000000003</v>
      </c>
      <c r="L19" s="221">
        <v>33.200000000000003</v>
      </c>
      <c r="M19" s="221">
        <v>33.200000000000003</v>
      </c>
      <c r="N19" s="221">
        <v>33.200000000000003</v>
      </c>
      <c r="O19" s="221">
        <v>33.200000000000003</v>
      </c>
      <c r="P19" s="221">
        <v>33.200000000000003</v>
      </c>
      <c r="Q19" s="221">
        <v>33.200000000000003</v>
      </c>
      <c r="R19" s="221">
        <v>33.200000000000003</v>
      </c>
      <c r="S19" s="221">
        <v>33.200000000000003</v>
      </c>
      <c r="T19" s="221">
        <v>33.200000000000003</v>
      </c>
      <c r="U19" s="221">
        <v>33.200000000000003</v>
      </c>
      <c r="V19" s="221">
        <v>33.200000000000003</v>
      </c>
      <c r="W19" s="221">
        <v>33.200000000000003</v>
      </c>
      <c r="X19" s="221">
        <v>33.200000000000003</v>
      </c>
      <c r="Y19" s="221">
        <v>33.200000000000003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25</v>
      </c>
      <c r="AF19" s="221">
        <v>25</v>
      </c>
      <c r="AG19" s="229">
        <v>24.2</v>
      </c>
      <c r="AH19" s="226">
        <f t="shared" si="2"/>
        <v>33.200000000000003</v>
      </c>
      <c r="AI19" s="227">
        <f t="shared" si="3"/>
        <v>25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23.8</v>
      </c>
      <c r="C20" s="221">
        <v>23.8</v>
      </c>
      <c r="D20" s="221">
        <v>23.8</v>
      </c>
      <c r="E20" s="221">
        <v>23.5</v>
      </c>
      <c r="F20" s="221">
        <v>23.5</v>
      </c>
      <c r="G20" s="221">
        <v>23.5</v>
      </c>
      <c r="H20" s="221">
        <v>23.5</v>
      </c>
      <c r="I20" s="221">
        <v>23.5</v>
      </c>
      <c r="J20" s="221">
        <v>23.5</v>
      </c>
      <c r="K20" s="221">
        <v>23.5</v>
      </c>
      <c r="L20" s="221">
        <v>23.5</v>
      </c>
      <c r="M20" s="221">
        <v>23.5</v>
      </c>
      <c r="N20" s="221">
        <v>23.5</v>
      </c>
      <c r="O20" s="221">
        <v>23.5</v>
      </c>
      <c r="P20" s="221">
        <v>23.5</v>
      </c>
      <c r="Q20" s="221">
        <v>23.5</v>
      </c>
      <c r="R20" s="221">
        <v>23.5</v>
      </c>
      <c r="S20" s="221">
        <v>23.5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23.5</v>
      </c>
      <c r="AE20" s="221">
        <v>23.5</v>
      </c>
      <c r="AF20" s="221">
        <v>23.5</v>
      </c>
      <c r="AG20" s="229">
        <v>23.5</v>
      </c>
      <c r="AH20" s="226">
        <f t="shared" si="2"/>
        <v>23.8</v>
      </c>
      <c r="AI20" s="227">
        <f t="shared" si="3"/>
        <v>23.5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20</v>
      </c>
      <c r="C23" s="221">
        <v>20</v>
      </c>
      <c r="D23" s="221">
        <v>20</v>
      </c>
      <c r="E23" s="221">
        <v>20</v>
      </c>
      <c r="F23" s="221">
        <v>20</v>
      </c>
      <c r="G23" s="221">
        <v>20</v>
      </c>
      <c r="H23" s="221">
        <v>20</v>
      </c>
      <c r="I23" s="221">
        <v>20</v>
      </c>
      <c r="J23" s="221">
        <v>20</v>
      </c>
      <c r="K23" s="221">
        <v>20</v>
      </c>
      <c r="L23" s="221">
        <v>20</v>
      </c>
      <c r="M23" s="221">
        <v>22</v>
      </c>
      <c r="N23" s="221">
        <v>22</v>
      </c>
      <c r="O23" s="221">
        <v>22</v>
      </c>
      <c r="P23" s="221">
        <v>20</v>
      </c>
      <c r="Q23" s="221">
        <v>20</v>
      </c>
      <c r="R23" s="221">
        <v>20</v>
      </c>
      <c r="S23" s="221">
        <v>20</v>
      </c>
      <c r="T23" s="221">
        <v>20</v>
      </c>
      <c r="U23" s="221">
        <v>11</v>
      </c>
      <c r="V23" s="221">
        <v>11</v>
      </c>
      <c r="W23" s="221">
        <v>11</v>
      </c>
      <c r="X23" s="221">
        <v>11</v>
      </c>
      <c r="Y23" s="221">
        <v>11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11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20</v>
      </c>
      <c r="AI24" s="227">
        <f t="shared" si="3"/>
        <v>20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5</v>
      </c>
      <c r="F25" s="221">
        <v>5</v>
      </c>
      <c r="G25" s="221">
        <v>0</v>
      </c>
      <c r="H25" s="221">
        <v>0</v>
      </c>
      <c r="I25" s="221">
        <v>0</v>
      </c>
      <c r="J25" s="221">
        <v>0</v>
      </c>
      <c r="K25" s="221">
        <v>20</v>
      </c>
      <c r="L25" s="221">
        <v>20</v>
      </c>
      <c r="M25" s="221">
        <v>20</v>
      </c>
      <c r="N25" s="221">
        <v>20</v>
      </c>
      <c r="O25" s="221">
        <v>10</v>
      </c>
      <c r="P25" s="221">
        <v>10</v>
      </c>
      <c r="Q25" s="221">
        <v>10</v>
      </c>
      <c r="R25" s="221">
        <v>10</v>
      </c>
      <c r="S25" s="221">
        <v>10</v>
      </c>
      <c r="T25" s="221">
        <v>12</v>
      </c>
      <c r="U25" s="221">
        <v>12</v>
      </c>
      <c r="V25" s="221">
        <v>12</v>
      </c>
      <c r="W25" s="221">
        <v>12</v>
      </c>
      <c r="X25" s="221">
        <v>12</v>
      </c>
      <c r="Y25" s="221">
        <v>16</v>
      </c>
      <c r="Z25" s="221">
        <v>18</v>
      </c>
      <c r="AA25" s="221">
        <v>18</v>
      </c>
      <c r="AB25" s="221">
        <v>20</v>
      </c>
      <c r="AC25" s="221">
        <v>20</v>
      </c>
      <c r="AD25" s="221">
        <v>20</v>
      </c>
      <c r="AE25" s="221">
        <v>12</v>
      </c>
      <c r="AF25" s="221">
        <v>10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</v>
      </c>
      <c r="C26" s="221">
        <v>14</v>
      </c>
      <c r="D26" s="221">
        <v>14</v>
      </c>
      <c r="E26" s="221">
        <v>14</v>
      </c>
      <c r="F26" s="221">
        <v>14</v>
      </c>
      <c r="G26" s="221">
        <v>14</v>
      </c>
      <c r="H26" s="221">
        <v>14</v>
      </c>
      <c r="I26" s="221">
        <v>14</v>
      </c>
      <c r="J26" s="221">
        <v>14</v>
      </c>
      <c r="K26" s="221">
        <v>14</v>
      </c>
      <c r="L26" s="221">
        <v>14</v>
      </c>
      <c r="M26" s="221">
        <v>14</v>
      </c>
      <c r="N26" s="221">
        <v>14</v>
      </c>
      <c r="O26" s="221">
        <v>14</v>
      </c>
      <c r="P26" s="221">
        <v>14</v>
      </c>
      <c r="Q26" s="221">
        <v>14</v>
      </c>
      <c r="R26" s="221">
        <v>14</v>
      </c>
      <c r="S26" s="221">
        <v>14</v>
      </c>
      <c r="T26" s="221">
        <v>14</v>
      </c>
      <c r="U26" s="221">
        <v>14</v>
      </c>
      <c r="V26" s="221">
        <v>14</v>
      </c>
      <c r="W26" s="221">
        <v>14</v>
      </c>
      <c r="X26" s="221">
        <v>14</v>
      </c>
      <c r="Y26" s="221">
        <v>0</v>
      </c>
      <c r="Z26" s="221">
        <v>0</v>
      </c>
      <c r="AA26" s="221">
        <v>0</v>
      </c>
      <c r="AB26" s="221">
        <v>14</v>
      </c>
      <c r="AC26" s="221">
        <v>14</v>
      </c>
      <c r="AD26" s="221">
        <v>14</v>
      </c>
      <c r="AE26" s="221">
        <v>14</v>
      </c>
      <c r="AF26" s="221">
        <v>14</v>
      </c>
      <c r="AG26" s="229">
        <v>14.9</v>
      </c>
      <c r="AH26" s="226">
        <f t="shared" si="2"/>
        <v>14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8</v>
      </c>
      <c r="C27" s="221">
        <v>8</v>
      </c>
      <c r="D27" s="221">
        <v>8</v>
      </c>
      <c r="E27" s="221">
        <v>8</v>
      </c>
      <c r="F27" s="221">
        <v>8</v>
      </c>
      <c r="G27" s="221">
        <v>8</v>
      </c>
      <c r="H27" s="221">
        <v>8</v>
      </c>
      <c r="I27" s="221">
        <v>8</v>
      </c>
      <c r="J27" s="221">
        <v>8</v>
      </c>
      <c r="K27" s="221">
        <v>8</v>
      </c>
      <c r="L27" s="221">
        <v>8</v>
      </c>
      <c r="M27" s="221">
        <v>0</v>
      </c>
      <c r="N27" s="221">
        <v>6</v>
      </c>
      <c r="O27" s="221">
        <v>6</v>
      </c>
      <c r="P27" s="221">
        <v>6</v>
      </c>
      <c r="Q27" s="221">
        <v>6</v>
      </c>
      <c r="R27" s="221">
        <v>6</v>
      </c>
      <c r="S27" s="221">
        <v>6</v>
      </c>
      <c r="T27" s="221">
        <v>6</v>
      </c>
      <c r="U27" s="221">
        <v>6</v>
      </c>
      <c r="V27" s="221">
        <v>6</v>
      </c>
      <c r="W27" s="221">
        <v>6</v>
      </c>
      <c r="X27" s="221">
        <v>6</v>
      </c>
      <c r="Y27" s="221">
        <v>6</v>
      </c>
      <c r="Z27" s="221">
        <v>6</v>
      </c>
      <c r="AA27" s="221">
        <v>6</v>
      </c>
      <c r="AB27" s="221">
        <v>6</v>
      </c>
      <c r="AC27" s="221">
        <v>6</v>
      </c>
      <c r="AD27" s="221">
        <v>6</v>
      </c>
      <c r="AE27" s="221">
        <v>6</v>
      </c>
      <c r="AF27" s="221">
        <v>6</v>
      </c>
      <c r="AG27" s="229">
        <v>13.6</v>
      </c>
      <c r="AH27" s="226">
        <f t="shared" si="2"/>
        <v>8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0</v>
      </c>
      <c r="K29" s="221">
        <v>0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  <c r="Q29" s="221">
        <v>8</v>
      </c>
      <c r="R29" s="221">
        <v>8</v>
      </c>
      <c r="S29" s="221">
        <v>8</v>
      </c>
      <c r="T29" s="221">
        <v>8</v>
      </c>
      <c r="U29" s="221">
        <v>8</v>
      </c>
      <c r="V29" s="221">
        <v>8</v>
      </c>
      <c r="W29" s="221">
        <v>8</v>
      </c>
      <c r="X29" s="221">
        <v>8</v>
      </c>
      <c r="Y29" s="221">
        <v>8</v>
      </c>
      <c r="Z29" s="221">
        <v>8</v>
      </c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8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0</v>
      </c>
      <c r="C32" s="221">
        <v>0</v>
      </c>
      <c r="D32" s="221">
        <v>0</v>
      </c>
      <c r="E32" s="221">
        <v>0</v>
      </c>
      <c r="F32" s="221">
        <v>0</v>
      </c>
      <c r="G32" s="221">
        <v>0</v>
      </c>
      <c r="H32" s="221">
        <v>0</v>
      </c>
      <c r="I32" s="221">
        <v>0</v>
      </c>
      <c r="J32" s="221">
        <v>0</v>
      </c>
      <c r="K32" s="221">
        <v>0</v>
      </c>
      <c r="L32" s="221">
        <v>0</v>
      </c>
      <c r="M32" s="221">
        <v>0</v>
      </c>
      <c r="N32" s="221">
        <v>0</v>
      </c>
      <c r="O32" s="221">
        <v>0</v>
      </c>
      <c r="P32" s="221">
        <v>0</v>
      </c>
      <c r="Q32" s="221">
        <v>0</v>
      </c>
      <c r="R32" s="221">
        <v>0</v>
      </c>
      <c r="S32" s="221">
        <v>11</v>
      </c>
      <c r="T32" s="221">
        <v>11</v>
      </c>
      <c r="U32" s="221">
        <v>11</v>
      </c>
      <c r="V32" s="221">
        <v>11</v>
      </c>
      <c r="W32" s="221">
        <v>11</v>
      </c>
      <c r="X32" s="221">
        <v>11</v>
      </c>
      <c r="Y32" s="221">
        <v>11</v>
      </c>
      <c r="Z32" s="221">
        <v>11</v>
      </c>
      <c r="AA32" s="221">
        <v>11</v>
      </c>
      <c r="AB32" s="221">
        <v>11</v>
      </c>
      <c r="AC32" s="221">
        <v>11</v>
      </c>
      <c r="AD32" s="221">
        <v>11</v>
      </c>
      <c r="AE32" s="221">
        <v>11</v>
      </c>
      <c r="AF32" s="221">
        <v>11</v>
      </c>
      <c r="AG32" s="230">
        <v>11.88</v>
      </c>
      <c r="AH32" s="226">
        <f t="shared" si="2"/>
        <v>11</v>
      </c>
      <c r="AI32" s="227">
        <f t="shared" si="3"/>
        <v>0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2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f>83.1+92.8</f>
        <v>175.89999999999998</v>
      </c>
      <c r="C37" s="237">
        <v>178</v>
      </c>
      <c r="D37" s="237">
        <f>80.6+96</f>
        <v>176.6</v>
      </c>
      <c r="E37" s="237">
        <f>81+96.1</f>
        <v>177.1</v>
      </c>
      <c r="F37" s="237">
        <f>81+96.1</f>
        <v>177.1</v>
      </c>
      <c r="G37" s="237">
        <f>81.2+96.4</f>
        <v>177.60000000000002</v>
      </c>
      <c r="H37" s="237">
        <f>80.9+85</f>
        <v>165.9</v>
      </c>
      <c r="I37" s="237">
        <f>80.7+95.6</f>
        <v>176.3</v>
      </c>
      <c r="J37" s="237">
        <f>81.7+95.2</f>
        <v>176.9</v>
      </c>
      <c r="K37" s="237">
        <f>81.6+94.9</f>
        <v>176.5</v>
      </c>
      <c r="L37" s="237">
        <f>82.2+95.8</f>
        <v>178</v>
      </c>
      <c r="M37" s="237">
        <f>96.6+82.5</f>
        <v>179.1</v>
      </c>
      <c r="N37" s="237">
        <f>97.4+82.1</f>
        <v>179.5</v>
      </c>
      <c r="O37" s="237">
        <f>95.9+80</f>
        <v>175.9</v>
      </c>
      <c r="P37" s="237">
        <f>97.4+80.9</f>
        <v>178.3</v>
      </c>
      <c r="Q37" s="237">
        <f>95.5+80.8</f>
        <v>176.3</v>
      </c>
      <c r="R37" s="237">
        <f>95.5+80.8</f>
        <v>176.3</v>
      </c>
      <c r="S37" s="239">
        <f>80.1+82.1</f>
        <v>162.19999999999999</v>
      </c>
      <c r="T37" s="239">
        <v>170</v>
      </c>
      <c r="U37" s="239">
        <f>82.3+82.3</f>
        <v>164.6</v>
      </c>
      <c r="V37" s="239">
        <f>83.7+76.6</f>
        <v>160.30000000000001</v>
      </c>
      <c r="W37" s="239">
        <f>83.7+76.6</f>
        <v>160.30000000000001</v>
      </c>
      <c r="X37" s="239">
        <f>83.7+76.6</f>
        <v>160.30000000000001</v>
      </c>
      <c r="Y37" s="239">
        <f>67.9+79</f>
        <v>146.9</v>
      </c>
      <c r="Z37" s="239">
        <v>153.10000000000002</v>
      </c>
      <c r="AA37" s="239">
        <f>78.4+92.7</f>
        <v>171.10000000000002</v>
      </c>
      <c r="AB37" s="239">
        <f>93+82.4</f>
        <v>175.4</v>
      </c>
      <c r="AC37" s="239">
        <f>93.5+82.4</f>
        <v>175.9</v>
      </c>
      <c r="AD37" s="239">
        <f>91.6+82.2</f>
        <v>173.8</v>
      </c>
      <c r="AE37" s="239">
        <f>91.1+81.7</f>
        <v>172.8</v>
      </c>
      <c r="AF37" s="239"/>
      <c r="AG37" s="235">
        <v>240</v>
      </c>
      <c r="AH37" s="226">
        <f t="shared" si="2"/>
        <v>179.5</v>
      </c>
      <c r="AI37" s="227">
        <f t="shared" si="3"/>
        <v>146.9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777.3</v>
      </c>
      <c r="C38" s="241">
        <f t="shared" si="4"/>
        <v>777.3</v>
      </c>
      <c r="D38" s="241">
        <f t="shared" si="4"/>
        <v>777.3</v>
      </c>
      <c r="E38" s="241">
        <f t="shared" si="4"/>
        <v>765.1</v>
      </c>
      <c r="F38" s="241">
        <f t="shared" si="4"/>
        <v>762.3</v>
      </c>
      <c r="G38" s="241">
        <f t="shared" si="4"/>
        <v>752</v>
      </c>
      <c r="H38" s="241">
        <f t="shared" si="4"/>
        <v>752.2</v>
      </c>
      <c r="I38" s="241">
        <f t="shared" si="4"/>
        <v>752</v>
      </c>
      <c r="J38" s="241">
        <f t="shared" si="4"/>
        <v>760.4</v>
      </c>
      <c r="K38" s="241">
        <f t="shared" si="4"/>
        <v>808.59999999999991</v>
      </c>
      <c r="L38" s="241">
        <f t="shared" si="4"/>
        <v>813.5</v>
      </c>
      <c r="M38" s="241">
        <f t="shared" si="4"/>
        <v>806.40000000000009</v>
      </c>
      <c r="N38" s="241">
        <f t="shared" si="4"/>
        <v>787</v>
      </c>
      <c r="O38" s="241">
        <f>SUM(O11:O36)</f>
        <v>774.3</v>
      </c>
      <c r="P38" s="241">
        <f t="shared" si="4"/>
        <v>797.4</v>
      </c>
      <c r="Q38" s="241">
        <f t="shared" si="4"/>
        <v>805.4</v>
      </c>
      <c r="R38" s="241">
        <f t="shared" si="4"/>
        <v>785.9</v>
      </c>
      <c r="S38" s="241">
        <f t="shared" si="4"/>
        <v>806.4</v>
      </c>
      <c r="T38" s="241">
        <f t="shared" si="4"/>
        <v>818.4</v>
      </c>
      <c r="U38" s="241">
        <f t="shared" si="4"/>
        <v>809.4</v>
      </c>
      <c r="V38" s="241">
        <f t="shared" si="4"/>
        <v>809.4</v>
      </c>
      <c r="W38" s="241">
        <f t="shared" si="4"/>
        <v>809.4</v>
      </c>
      <c r="X38" s="241">
        <f t="shared" si="4"/>
        <v>809.4</v>
      </c>
      <c r="Y38" s="241">
        <f t="shared" si="4"/>
        <v>799.4</v>
      </c>
      <c r="Z38" s="241">
        <f t="shared" si="4"/>
        <v>810.4</v>
      </c>
      <c r="AA38" s="241">
        <f t="shared" si="4"/>
        <v>810.4</v>
      </c>
      <c r="AB38" s="241">
        <f t="shared" si="4"/>
        <v>828</v>
      </c>
      <c r="AC38" s="241">
        <f t="shared" si="4"/>
        <v>828</v>
      </c>
      <c r="AD38" s="241">
        <f t="shared" si="4"/>
        <v>828.2</v>
      </c>
      <c r="AE38" s="241">
        <f t="shared" si="4"/>
        <v>780.9</v>
      </c>
      <c r="AF38" s="241">
        <f t="shared" si="4"/>
        <v>757.9</v>
      </c>
      <c r="AG38" s="242">
        <f t="shared" si="4"/>
        <v>665.78</v>
      </c>
      <c r="AH38" s="226">
        <f t="shared" si="2"/>
        <v>828.2</v>
      </c>
      <c r="AI38" s="227">
        <f t="shared" si="3"/>
        <v>752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400</v>
      </c>
      <c r="E39" s="221">
        <v>420</v>
      </c>
      <c r="F39" s="221">
        <v>420</v>
      </c>
      <c r="G39" s="221">
        <v>420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400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482</v>
      </c>
      <c r="E42" s="241">
        <f t="shared" si="5"/>
        <v>502</v>
      </c>
      <c r="F42" s="241">
        <f t="shared" si="5"/>
        <v>502</v>
      </c>
      <c r="G42" s="241">
        <f t="shared" si="5"/>
        <v>502</v>
      </c>
      <c r="H42" s="241">
        <f t="shared" si="5"/>
        <v>538</v>
      </c>
      <c r="I42" s="241">
        <f t="shared" si="5"/>
        <v>538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538</v>
      </c>
      <c r="T42" s="241">
        <f t="shared" si="5"/>
        <v>538</v>
      </c>
      <c r="U42" s="241">
        <f t="shared" si="5"/>
        <v>538</v>
      </c>
      <c r="V42" s="241">
        <f t="shared" si="5"/>
        <v>538</v>
      </c>
      <c r="W42" s="241">
        <f t="shared" si="5"/>
        <v>538</v>
      </c>
      <c r="X42" s="241">
        <f t="shared" si="5"/>
        <v>538</v>
      </c>
      <c r="Y42" s="241">
        <f t="shared" si="5"/>
        <v>538</v>
      </c>
      <c r="Z42" s="241">
        <f t="shared" si="5"/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482</v>
      </c>
      <c r="AK42" s="228"/>
    </row>
    <row r="43" spans="1:88" x14ac:dyDescent="0.25">
      <c r="A43" s="220" t="s">
        <v>51</v>
      </c>
      <c r="B43" s="221">
        <v>143.19999999999999</v>
      </c>
      <c r="C43" s="221">
        <v>143.19999999999999</v>
      </c>
      <c r="D43" s="221">
        <v>143.19999999999999</v>
      </c>
      <c r="E43" s="221">
        <v>142</v>
      </c>
      <c r="F43" s="221">
        <v>142.19999999999999</v>
      </c>
      <c r="G43" s="221">
        <v>142.19999999999999</v>
      </c>
      <c r="H43" s="221">
        <v>141.9</v>
      </c>
      <c r="I43" s="221">
        <v>141.6</v>
      </c>
      <c r="J43" s="221">
        <v>141.30000000000001</v>
      </c>
      <c r="K43" s="221">
        <v>141.5</v>
      </c>
      <c r="L43" s="221">
        <v>142</v>
      </c>
      <c r="M43" s="221">
        <v>142.6</v>
      </c>
      <c r="N43" s="221">
        <v>142</v>
      </c>
      <c r="O43" s="221">
        <v>142</v>
      </c>
      <c r="P43" s="221">
        <v>142.4</v>
      </c>
      <c r="Q43" s="221">
        <v>142.19999999999999</v>
      </c>
      <c r="R43" s="221">
        <v>142.19999999999999</v>
      </c>
      <c r="S43" s="221">
        <v>143.1</v>
      </c>
      <c r="T43" s="221">
        <v>143.1</v>
      </c>
      <c r="U43" s="221">
        <v>143.1</v>
      </c>
      <c r="V43" s="221">
        <v>143.1</v>
      </c>
      <c r="W43" s="221">
        <v>143.1</v>
      </c>
      <c r="X43" s="221">
        <v>143.1</v>
      </c>
      <c r="Y43" s="221">
        <v>143.1</v>
      </c>
      <c r="Z43" s="221">
        <v>143</v>
      </c>
      <c r="AA43" s="221">
        <v>143</v>
      </c>
      <c r="AB43" s="221">
        <v>143.5</v>
      </c>
      <c r="AC43" s="221">
        <v>143.30000000000001</v>
      </c>
      <c r="AD43" s="221">
        <v>143.4</v>
      </c>
      <c r="AE43" s="221">
        <v>143</v>
      </c>
      <c r="AF43" s="221">
        <v>143.1</v>
      </c>
      <c r="AG43" s="230">
        <v>144</v>
      </c>
      <c r="AH43" s="226">
        <f t="shared" si="2"/>
        <v>143.5</v>
      </c>
      <c r="AI43" s="227">
        <f t="shared" si="3"/>
        <v>141.30000000000001</v>
      </c>
      <c r="AK43" s="228"/>
    </row>
    <row r="44" spans="1:88" x14ac:dyDescent="0.25">
      <c r="A44" s="234" t="s">
        <v>52</v>
      </c>
      <c r="B44" s="245">
        <v>69.7</v>
      </c>
      <c r="C44" s="245">
        <v>69.7</v>
      </c>
      <c r="D44" s="245">
        <v>69.7</v>
      </c>
      <c r="E44" s="245">
        <v>61.5</v>
      </c>
      <c r="F44" s="245">
        <v>61.5</v>
      </c>
      <c r="G44" s="245">
        <v>70.599999999999994</v>
      </c>
      <c r="H44" s="245">
        <v>70.599999999999994</v>
      </c>
      <c r="I44" s="245">
        <v>70.7</v>
      </c>
      <c r="J44" s="245">
        <v>71.400000000000006</v>
      </c>
      <c r="K44" s="245">
        <v>69.599999999999994</v>
      </c>
      <c r="L44" s="245">
        <v>70.900000000000006</v>
      </c>
      <c r="M44" s="221">
        <v>70.400000000000006</v>
      </c>
      <c r="N44" s="221">
        <v>69.3</v>
      </c>
      <c r="O44" s="221">
        <v>71</v>
      </c>
      <c r="P44" s="221">
        <v>70.400000000000006</v>
      </c>
      <c r="Q44" s="221">
        <v>71.3</v>
      </c>
      <c r="R44" s="221">
        <v>71.3</v>
      </c>
      <c r="S44" s="221">
        <v>71.3</v>
      </c>
      <c r="T44" s="221">
        <v>71.599999999999994</v>
      </c>
      <c r="U44" s="221">
        <v>71.599999999999994</v>
      </c>
      <c r="V44" s="221">
        <v>71.599999999999994</v>
      </c>
      <c r="W44" s="221">
        <v>71.599999999999994</v>
      </c>
      <c r="X44" s="221">
        <v>72.5</v>
      </c>
      <c r="Y44" s="221">
        <v>72.5</v>
      </c>
      <c r="Z44" s="245">
        <v>71.8</v>
      </c>
      <c r="AA44" s="245">
        <v>71.8</v>
      </c>
      <c r="AB44" s="245">
        <v>71.400000000000006</v>
      </c>
      <c r="AC44" s="245">
        <v>71.599999999999994</v>
      </c>
      <c r="AD44" s="245">
        <v>72.3</v>
      </c>
      <c r="AE44" s="245">
        <v>72.5</v>
      </c>
      <c r="AF44" s="245">
        <v>72.400000000000006</v>
      </c>
      <c r="AG44" s="235">
        <v>70</v>
      </c>
      <c r="AH44" s="226">
        <f t="shared" si="2"/>
        <v>72.5</v>
      </c>
      <c r="AI44" s="227">
        <f t="shared" si="3"/>
        <v>61.5</v>
      </c>
      <c r="AK44" s="228"/>
    </row>
    <row r="45" spans="1:88" x14ac:dyDescent="0.25">
      <c r="A45" s="234" t="s">
        <v>53</v>
      </c>
      <c r="B45" s="245">
        <v>64.099999999999994</v>
      </c>
      <c r="C45" s="245">
        <v>64.099999999999994</v>
      </c>
      <c r="D45" s="245">
        <v>64.099999999999994</v>
      </c>
      <c r="E45" s="245">
        <v>63.8</v>
      </c>
      <c r="F45" s="245">
        <v>58</v>
      </c>
      <c r="G45" s="245">
        <v>0</v>
      </c>
      <c r="H45" s="245">
        <v>0</v>
      </c>
      <c r="I45" s="245">
        <v>0</v>
      </c>
      <c r="J45" s="245">
        <v>0</v>
      </c>
      <c r="K45" s="245">
        <v>0</v>
      </c>
      <c r="L45" s="245">
        <v>0</v>
      </c>
      <c r="M45" s="221">
        <v>0</v>
      </c>
      <c r="N45" s="221">
        <v>0</v>
      </c>
      <c r="O45" s="221">
        <v>0</v>
      </c>
      <c r="P45" s="221">
        <v>65.5</v>
      </c>
      <c r="Q45" s="221">
        <v>64.900000000000006</v>
      </c>
      <c r="R45" s="221">
        <v>64.900000000000006</v>
      </c>
      <c r="S45" s="221">
        <v>64.900000000000006</v>
      </c>
      <c r="T45" s="221">
        <v>64.7</v>
      </c>
      <c r="U45" s="221">
        <v>64.7</v>
      </c>
      <c r="V45" s="221">
        <v>64.7</v>
      </c>
      <c r="W45" s="221">
        <v>64.7</v>
      </c>
      <c r="X45" s="221">
        <v>64.7</v>
      </c>
      <c r="Y45" s="221">
        <v>64.7</v>
      </c>
      <c r="Z45" s="245">
        <v>64.3</v>
      </c>
      <c r="AA45" s="245">
        <v>64.3</v>
      </c>
      <c r="AB45" s="245">
        <v>64.7</v>
      </c>
      <c r="AC45" s="245">
        <v>64.5</v>
      </c>
      <c r="AD45" s="245">
        <v>64.8</v>
      </c>
      <c r="AE45" s="245">
        <v>64.599999999999994</v>
      </c>
      <c r="AF45" s="245">
        <v>51.7</v>
      </c>
      <c r="AG45" s="235">
        <v>69</v>
      </c>
      <c r="AH45" s="226">
        <f t="shared" si="2"/>
        <v>65.5</v>
      </c>
      <c r="AI45" s="227">
        <f t="shared" si="3"/>
        <v>0</v>
      </c>
      <c r="AK45" s="228"/>
    </row>
    <row r="46" spans="1:88" x14ac:dyDescent="0.25">
      <c r="A46" s="234" t="s">
        <v>54</v>
      </c>
      <c r="B46" s="237">
        <v>62.8</v>
      </c>
      <c r="C46" s="237">
        <v>62.8</v>
      </c>
      <c r="D46" s="237">
        <v>62.8</v>
      </c>
      <c r="E46" s="237">
        <v>45</v>
      </c>
      <c r="F46" s="237">
        <v>45</v>
      </c>
      <c r="G46" s="237">
        <v>60.4</v>
      </c>
      <c r="H46" s="237">
        <v>60.4</v>
      </c>
      <c r="I46" s="237">
        <v>60</v>
      </c>
      <c r="J46" s="237">
        <v>60.4</v>
      </c>
      <c r="K46" s="237">
        <v>60.4</v>
      </c>
      <c r="L46" s="237">
        <v>61.5</v>
      </c>
      <c r="M46" s="221">
        <v>61.5</v>
      </c>
      <c r="N46" s="221">
        <v>60.4</v>
      </c>
      <c r="O46" s="221">
        <v>60.4</v>
      </c>
      <c r="P46" s="221">
        <v>60.4</v>
      </c>
      <c r="Q46" s="221">
        <v>60.4</v>
      </c>
      <c r="R46" s="221">
        <v>60.4</v>
      </c>
      <c r="S46" s="221">
        <v>60.4</v>
      </c>
      <c r="T46" s="221">
        <v>60.4</v>
      </c>
      <c r="U46" s="221">
        <v>60.4</v>
      </c>
      <c r="V46" s="221">
        <v>60.4</v>
      </c>
      <c r="W46" s="221">
        <v>60.4</v>
      </c>
      <c r="X46" s="221">
        <v>60.4</v>
      </c>
      <c r="Y46" s="221">
        <v>60.4</v>
      </c>
      <c r="Z46" s="245">
        <v>60.4</v>
      </c>
      <c r="AA46" s="245">
        <v>60.4</v>
      </c>
      <c r="AB46" s="245">
        <v>60.4</v>
      </c>
      <c r="AC46" s="237">
        <v>60.4</v>
      </c>
      <c r="AD46" s="237">
        <v>60.4</v>
      </c>
      <c r="AE46" s="237">
        <v>60.4</v>
      </c>
      <c r="AF46" s="237">
        <v>60.4</v>
      </c>
      <c r="AG46" s="235">
        <v>60</v>
      </c>
      <c r="AH46" s="226">
        <f t="shared" si="2"/>
        <v>62.8</v>
      </c>
      <c r="AI46" s="227">
        <f t="shared" si="3"/>
        <v>45</v>
      </c>
      <c r="AK46" s="228"/>
    </row>
    <row r="47" spans="1:88" x14ac:dyDescent="0.25">
      <c r="A47" s="234" t="s">
        <v>55</v>
      </c>
      <c r="B47" s="237">
        <v>28.4</v>
      </c>
      <c r="C47" s="237">
        <v>28.4</v>
      </c>
      <c r="D47" s="237">
        <v>28.4</v>
      </c>
      <c r="E47" s="237">
        <v>28.3</v>
      </c>
      <c r="F47" s="237">
        <v>28.3</v>
      </c>
      <c r="G47" s="237">
        <v>28.1</v>
      </c>
      <c r="H47" s="237">
        <v>28.2</v>
      </c>
      <c r="I47" s="237">
        <v>28.2</v>
      </c>
      <c r="J47" s="237">
        <v>28.2</v>
      </c>
      <c r="K47" s="237">
        <v>28.2</v>
      </c>
      <c r="L47" s="237">
        <v>30</v>
      </c>
      <c r="M47" s="221">
        <v>30</v>
      </c>
      <c r="N47" s="221">
        <v>30</v>
      </c>
      <c r="O47" s="221">
        <v>30</v>
      </c>
      <c r="P47" s="221">
        <v>30</v>
      </c>
      <c r="Q47" s="221">
        <v>30</v>
      </c>
      <c r="R47" s="221">
        <v>30</v>
      </c>
      <c r="S47" s="221">
        <v>0</v>
      </c>
      <c r="T47" s="221">
        <v>30</v>
      </c>
      <c r="U47" s="221">
        <v>30</v>
      </c>
      <c r="V47" s="221">
        <v>30</v>
      </c>
      <c r="W47" s="221">
        <v>30</v>
      </c>
      <c r="X47" s="221">
        <v>30</v>
      </c>
      <c r="Y47" s="221">
        <v>30</v>
      </c>
      <c r="Z47" s="245">
        <v>29.1</v>
      </c>
      <c r="AA47" s="245">
        <v>29.1</v>
      </c>
      <c r="AB47" s="245">
        <v>0</v>
      </c>
      <c r="AC47" s="245">
        <v>0</v>
      </c>
      <c r="AD47" s="237">
        <v>28.8</v>
      </c>
      <c r="AE47" s="237">
        <v>28.8</v>
      </c>
      <c r="AF47" s="237">
        <v>28.8</v>
      </c>
      <c r="AG47" s="235">
        <v>30</v>
      </c>
      <c r="AH47" s="226">
        <f t="shared" si="2"/>
        <v>30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37">
        <v>0</v>
      </c>
      <c r="H48" s="237">
        <v>0</v>
      </c>
      <c r="I48" s="237">
        <v>0</v>
      </c>
      <c r="J48" s="237">
        <v>0</v>
      </c>
      <c r="K48" s="237">
        <v>0</v>
      </c>
      <c r="L48" s="237">
        <v>0</v>
      </c>
      <c r="M48" s="221">
        <v>8</v>
      </c>
      <c r="N48" s="221">
        <v>10</v>
      </c>
      <c r="O48" s="221">
        <v>10</v>
      </c>
      <c r="P48" s="221">
        <v>10</v>
      </c>
      <c r="Q48" s="221">
        <v>10</v>
      </c>
      <c r="R48" s="221">
        <v>10</v>
      </c>
      <c r="S48" s="221">
        <v>10</v>
      </c>
      <c r="T48" s="221">
        <v>10</v>
      </c>
      <c r="U48" s="221">
        <v>10</v>
      </c>
      <c r="V48" s="221">
        <v>10</v>
      </c>
      <c r="W48" s="221">
        <v>10</v>
      </c>
      <c r="X48" s="221">
        <v>5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17.600000000000001</v>
      </c>
      <c r="C49" s="245">
        <v>17.600000000000001</v>
      </c>
      <c r="D49" s="245">
        <v>17.600000000000001</v>
      </c>
      <c r="E49" s="245">
        <v>17.600000000000001</v>
      </c>
      <c r="F49" s="245">
        <v>17.600000000000001</v>
      </c>
      <c r="G49" s="245">
        <v>17.5</v>
      </c>
      <c r="H49" s="245">
        <v>17.5</v>
      </c>
      <c r="I49" s="245">
        <v>17.399999999999999</v>
      </c>
      <c r="J49" s="245">
        <v>17.399999999999999</v>
      </c>
      <c r="K49" s="245">
        <v>17.399999999999999</v>
      </c>
      <c r="L49" s="245">
        <v>17.399999999999999</v>
      </c>
      <c r="M49" s="221">
        <v>17.3</v>
      </c>
      <c r="N49" s="221">
        <v>17.3</v>
      </c>
      <c r="O49" s="221">
        <v>17.3</v>
      </c>
      <c r="P49" s="221">
        <v>17.3</v>
      </c>
      <c r="Q49" s="221">
        <v>17.3</v>
      </c>
      <c r="R49" s="221">
        <v>17.3</v>
      </c>
      <c r="S49" s="221">
        <v>17.3</v>
      </c>
      <c r="T49" s="221">
        <v>17.3</v>
      </c>
      <c r="U49" s="221">
        <v>17.3</v>
      </c>
      <c r="V49" s="221">
        <v>17.3</v>
      </c>
      <c r="W49" s="221">
        <v>17.3</v>
      </c>
      <c r="X49" s="221">
        <v>17.3</v>
      </c>
      <c r="Y49" s="221">
        <v>17.3</v>
      </c>
      <c r="Z49" s="221">
        <v>17.2</v>
      </c>
      <c r="AA49" s="221">
        <v>17.2</v>
      </c>
      <c r="AB49" s="221">
        <v>17.2</v>
      </c>
      <c r="AC49" s="221">
        <v>17.2</v>
      </c>
      <c r="AD49" s="221">
        <v>17.2</v>
      </c>
      <c r="AE49" s="221">
        <v>17.2</v>
      </c>
      <c r="AF49" s="221">
        <v>17.2</v>
      </c>
      <c r="AG49" s="235">
        <v>24</v>
      </c>
      <c r="AH49" s="226">
        <f t="shared" si="2"/>
        <v>17.600000000000001</v>
      </c>
      <c r="AI49" s="227">
        <f t="shared" si="3"/>
        <v>17.2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45">
        <v>3</v>
      </c>
      <c r="T50" s="245">
        <v>3</v>
      </c>
      <c r="U50" s="245">
        <v>3</v>
      </c>
      <c r="V50" s="245">
        <v>3</v>
      </c>
      <c r="W50" s="245">
        <v>3</v>
      </c>
      <c r="X50" s="245">
        <v>3</v>
      </c>
      <c r="Y50" s="245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10.199999999999999</v>
      </c>
      <c r="C51" s="245">
        <v>10.199999999999999</v>
      </c>
      <c r="D51" s="245">
        <v>10.199999999999999</v>
      </c>
      <c r="E51" s="245">
        <v>13.2</v>
      </c>
      <c r="F51" s="245">
        <v>13.2</v>
      </c>
      <c r="G51" s="245">
        <v>13</v>
      </c>
      <c r="H51" s="245">
        <v>13.1</v>
      </c>
      <c r="I51" s="245">
        <v>12.7</v>
      </c>
      <c r="J51" s="245">
        <v>12.7</v>
      </c>
      <c r="K51" s="245">
        <v>12.7</v>
      </c>
      <c r="L51" s="245">
        <v>12.7</v>
      </c>
      <c r="M51" s="245">
        <v>12.7</v>
      </c>
      <c r="N51" s="245">
        <v>12.7</v>
      </c>
      <c r="O51" s="245">
        <v>12.7</v>
      </c>
      <c r="P51" s="245">
        <v>12.7</v>
      </c>
      <c r="Q51" s="245">
        <v>12.7</v>
      </c>
      <c r="R51" s="245">
        <v>12.7</v>
      </c>
      <c r="S51" s="245">
        <v>13.6</v>
      </c>
      <c r="T51" s="245">
        <v>13.6</v>
      </c>
      <c r="U51" s="245">
        <v>13.6</v>
      </c>
      <c r="V51" s="245">
        <v>13.6</v>
      </c>
      <c r="W51" s="245">
        <v>13.6</v>
      </c>
      <c r="X51" s="245">
        <v>13.6</v>
      </c>
      <c r="Y51" s="245">
        <v>13.6</v>
      </c>
      <c r="Z51" s="221">
        <v>13.3</v>
      </c>
      <c r="AA51" s="221">
        <v>13.3</v>
      </c>
      <c r="AB51" s="221">
        <v>13.3</v>
      </c>
      <c r="AC51" s="221">
        <v>13.3</v>
      </c>
      <c r="AD51" s="221">
        <v>13.3</v>
      </c>
      <c r="AE51" s="221">
        <v>13.3</v>
      </c>
      <c r="AF51" s="221">
        <v>13.3</v>
      </c>
      <c r="AG51" s="235">
        <v>14.1</v>
      </c>
      <c r="AH51" s="226">
        <f t="shared" si="2"/>
        <v>13.6</v>
      </c>
      <c r="AI51" s="227">
        <f t="shared" si="3"/>
        <v>10.199999999999999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1.1000000000000001</v>
      </c>
      <c r="C52" s="245">
        <v>1.1000000000000001</v>
      </c>
      <c r="D52" s="245">
        <v>0</v>
      </c>
      <c r="E52" s="245">
        <v>0</v>
      </c>
      <c r="F52" s="245">
        <v>0</v>
      </c>
      <c r="G52" s="245">
        <v>14.1</v>
      </c>
      <c r="H52" s="245">
        <v>14.1</v>
      </c>
      <c r="I52" s="245">
        <v>14.1</v>
      </c>
      <c r="J52" s="245">
        <v>14.1</v>
      </c>
      <c r="K52" s="245">
        <v>14.1</v>
      </c>
      <c r="L52" s="245">
        <v>14</v>
      </c>
      <c r="M52" s="245">
        <v>14</v>
      </c>
      <c r="N52" s="245">
        <v>14</v>
      </c>
      <c r="O52" s="245">
        <v>14</v>
      </c>
      <c r="P52" s="245">
        <v>14</v>
      </c>
      <c r="Q52" s="245">
        <v>14</v>
      </c>
      <c r="R52" s="245">
        <v>14</v>
      </c>
      <c r="S52" s="245">
        <v>14</v>
      </c>
      <c r="T52" s="245">
        <v>14</v>
      </c>
      <c r="U52" s="245">
        <v>14</v>
      </c>
      <c r="V52" s="245">
        <v>14</v>
      </c>
      <c r="W52" s="245">
        <v>14</v>
      </c>
      <c r="X52" s="245">
        <v>14</v>
      </c>
      <c r="Y52" s="245">
        <v>14</v>
      </c>
      <c r="Z52" s="221">
        <v>14.1</v>
      </c>
      <c r="AA52" s="221">
        <v>14.1</v>
      </c>
      <c r="AB52" s="221">
        <v>14.1</v>
      </c>
      <c r="AC52" s="221">
        <v>14.1</v>
      </c>
      <c r="AD52" s="221">
        <v>14.1</v>
      </c>
      <c r="AE52" s="221">
        <v>14.1</v>
      </c>
      <c r="AF52" s="221">
        <v>14.1</v>
      </c>
      <c r="AG52" s="235">
        <v>14</v>
      </c>
      <c r="AH52" s="226">
        <f t="shared" si="2"/>
        <v>14.1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9</v>
      </c>
      <c r="C53" s="245">
        <v>9</v>
      </c>
      <c r="D53" s="245">
        <v>9</v>
      </c>
      <c r="E53" s="245">
        <v>9</v>
      </c>
      <c r="F53" s="245">
        <v>9</v>
      </c>
      <c r="G53" s="245">
        <v>9</v>
      </c>
      <c r="H53" s="245">
        <v>9</v>
      </c>
      <c r="I53" s="245">
        <v>9</v>
      </c>
      <c r="J53" s="245">
        <v>9</v>
      </c>
      <c r="K53" s="245">
        <v>9</v>
      </c>
      <c r="L53" s="245">
        <v>9</v>
      </c>
      <c r="M53" s="245">
        <v>9</v>
      </c>
      <c r="N53" s="245">
        <v>9</v>
      </c>
      <c r="O53" s="245">
        <v>9</v>
      </c>
      <c r="P53" s="245">
        <v>9</v>
      </c>
      <c r="Q53" s="245">
        <v>9</v>
      </c>
      <c r="R53" s="245">
        <v>9</v>
      </c>
      <c r="S53" s="245">
        <v>9</v>
      </c>
      <c r="T53" s="245">
        <v>9</v>
      </c>
      <c r="U53" s="245">
        <v>9</v>
      </c>
      <c r="V53" s="245">
        <v>9</v>
      </c>
      <c r="W53" s="245">
        <v>9</v>
      </c>
      <c r="X53" s="245">
        <v>9</v>
      </c>
      <c r="Y53" s="245">
        <v>9</v>
      </c>
      <c r="Z53" s="221">
        <v>9</v>
      </c>
      <c r="AA53" s="221">
        <v>9</v>
      </c>
      <c r="AB53" s="221">
        <v>9</v>
      </c>
      <c r="AC53" s="221">
        <v>9</v>
      </c>
      <c r="AD53" s="221">
        <v>9</v>
      </c>
      <c r="AE53" s="221">
        <v>9</v>
      </c>
      <c r="AF53" s="221">
        <v>9</v>
      </c>
      <c r="AG53" s="235">
        <v>10.050000000000001</v>
      </c>
      <c r="AH53" s="226">
        <f t="shared" si="2"/>
        <v>9</v>
      </c>
      <c r="AI53" s="227">
        <f t="shared" si="3"/>
        <v>9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>
        <v>6.2</v>
      </c>
      <c r="F54" s="245">
        <v>6.2</v>
      </c>
      <c r="G54" s="245">
        <v>6.2</v>
      </c>
      <c r="H54" s="245">
        <v>6.2</v>
      </c>
      <c r="I54" s="245">
        <v>6.2</v>
      </c>
      <c r="J54" s="245">
        <v>6.2</v>
      </c>
      <c r="K54" s="245">
        <v>6.2</v>
      </c>
      <c r="L54" s="245">
        <v>6.2</v>
      </c>
      <c r="M54" s="245">
        <v>6.2</v>
      </c>
      <c r="N54" s="245">
        <v>6.2</v>
      </c>
      <c r="O54" s="245">
        <v>6.2</v>
      </c>
      <c r="P54" s="245">
        <v>6.2</v>
      </c>
      <c r="Q54" s="245">
        <v>6.2</v>
      </c>
      <c r="R54" s="245">
        <v>6.2</v>
      </c>
      <c r="S54" s="245">
        <v>6.2</v>
      </c>
      <c r="T54" s="245">
        <v>6.2</v>
      </c>
      <c r="U54" s="245">
        <v>6.2</v>
      </c>
      <c r="V54" s="245">
        <v>6.2</v>
      </c>
      <c r="W54" s="245">
        <v>6.2</v>
      </c>
      <c r="X54" s="245">
        <v>6.2</v>
      </c>
      <c r="Y54" s="245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418.84000000000003</v>
      </c>
      <c r="C56" s="241">
        <f t="shared" ref="C56:AG56" si="6">SUM(C43:C55)</f>
        <v>418.84000000000003</v>
      </c>
      <c r="D56" s="241">
        <f t="shared" si="6"/>
        <v>417.74</v>
      </c>
      <c r="E56" s="241">
        <f t="shared" si="6"/>
        <v>393.14000000000004</v>
      </c>
      <c r="F56" s="241">
        <f t="shared" si="6"/>
        <v>387.54</v>
      </c>
      <c r="G56" s="241">
        <f t="shared" si="6"/>
        <v>367.64000000000004</v>
      </c>
      <c r="H56" s="241">
        <f t="shared" si="6"/>
        <v>367.54</v>
      </c>
      <c r="I56" s="241">
        <f t="shared" si="6"/>
        <v>366.44</v>
      </c>
      <c r="J56" s="241">
        <f t="shared" si="6"/>
        <v>367.24</v>
      </c>
      <c r="K56" s="241">
        <f t="shared" si="6"/>
        <v>365.64</v>
      </c>
      <c r="L56" s="241">
        <f t="shared" si="6"/>
        <v>370.23999999999995</v>
      </c>
      <c r="M56" s="241">
        <f t="shared" si="6"/>
        <v>378.24</v>
      </c>
      <c r="N56" s="241">
        <f t="shared" si="6"/>
        <v>377.44</v>
      </c>
      <c r="O56" s="241">
        <f t="shared" si="6"/>
        <v>379.14</v>
      </c>
      <c r="P56" s="241">
        <f t="shared" si="6"/>
        <v>444.44</v>
      </c>
      <c r="Q56" s="241">
        <f t="shared" si="6"/>
        <v>444.53999999999996</v>
      </c>
      <c r="R56" s="241">
        <f t="shared" si="6"/>
        <v>444.53999999999996</v>
      </c>
      <c r="S56" s="241">
        <f t="shared" si="6"/>
        <v>416.34</v>
      </c>
      <c r="T56" s="241">
        <f t="shared" si="6"/>
        <v>446.44</v>
      </c>
      <c r="U56" s="241">
        <f t="shared" si="6"/>
        <v>446.44</v>
      </c>
      <c r="V56" s="241">
        <f t="shared" si="6"/>
        <v>446.44</v>
      </c>
      <c r="W56" s="241">
        <f t="shared" si="6"/>
        <v>446.44</v>
      </c>
      <c r="X56" s="241">
        <f t="shared" si="6"/>
        <v>442.34000000000003</v>
      </c>
      <c r="Y56" s="241">
        <f t="shared" si="6"/>
        <v>437.34000000000003</v>
      </c>
      <c r="Z56" s="241">
        <f t="shared" si="6"/>
        <v>434.94000000000005</v>
      </c>
      <c r="AA56" s="241">
        <f t="shared" si="6"/>
        <v>434.94000000000005</v>
      </c>
      <c r="AB56" s="241">
        <f t="shared" si="6"/>
        <v>406.34000000000003</v>
      </c>
      <c r="AC56" s="241">
        <f t="shared" si="6"/>
        <v>406.14</v>
      </c>
      <c r="AD56" s="241">
        <f t="shared" si="6"/>
        <v>436.04</v>
      </c>
      <c r="AE56" s="241">
        <f t="shared" si="6"/>
        <v>435.64000000000004</v>
      </c>
      <c r="AF56" s="241">
        <f t="shared" si="6"/>
        <v>422.74</v>
      </c>
      <c r="AG56" s="242">
        <f t="shared" si="6"/>
        <v>489.91</v>
      </c>
      <c r="AH56" s="226">
        <f t="shared" si="2"/>
        <v>446.44</v>
      </c>
      <c r="AI56" s="227">
        <f t="shared" si="3"/>
        <v>365.64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19.3</v>
      </c>
      <c r="L57" s="221">
        <v>9.9</v>
      </c>
      <c r="M57" s="221">
        <v>9.8000000000000007</v>
      </c>
      <c r="N57" s="221">
        <v>10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14.4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19.3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8.8000000000000007</v>
      </c>
      <c r="L58" s="245">
        <v>4.5999999999999996</v>
      </c>
      <c r="M58" s="245">
        <v>5.5</v>
      </c>
      <c r="N58" s="245">
        <v>4.7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4.9000000000000004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8.8000000000000007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3.2</v>
      </c>
      <c r="L59" s="247">
        <v>1.7</v>
      </c>
      <c r="M59" s="247">
        <v>2</v>
      </c>
      <c r="N59" s="247">
        <v>1.7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1.8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3.2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31.3</v>
      </c>
      <c r="L60" s="241">
        <f t="shared" si="7"/>
        <v>16.2</v>
      </c>
      <c r="M60" s="241">
        <f t="shared" si="7"/>
        <v>17.3</v>
      </c>
      <c r="N60" s="241">
        <f t="shared" si="7"/>
        <v>16.399999999999999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21.1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31.3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14.5</v>
      </c>
      <c r="C61" s="221">
        <v>6.3</v>
      </c>
      <c r="D61" s="221">
        <v>4.2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5</v>
      </c>
      <c r="N61" s="221">
        <v>9</v>
      </c>
      <c r="O61" s="221">
        <v>16</v>
      </c>
      <c r="P61" s="221">
        <v>20.2</v>
      </c>
      <c r="Q61" s="221">
        <v>14.73</v>
      </c>
      <c r="R61" s="221">
        <v>12</v>
      </c>
      <c r="S61" s="221">
        <v>40.869999999999997</v>
      </c>
      <c r="T61" s="221">
        <v>8.5</v>
      </c>
      <c r="U61" s="221">
        <v>5</v>
      </c>
      <c r="V61" s="221">
        <v>6</v>
      </c>
      <c r="W61" s="221">
        <v>0</v>
      </c>
      <c r="X61" s="221">
        <v>17</v>
      </c>
      <c r="Y61" s="221">
        <v>24.6</v>
      </c>
      <c r="Z61" s="221">
        <v>42.5</v>
      </c>
      <c r="AA61" s="221">
        <v>35.799999999999997</v>
      </c>
      <c r="AB61" s="221">
        <v>0</v>
      </c>
      <c r="AC61" s="221">
        <v>0</v>
      </c>
      <c r="AD61" s="221">
        <v>22</v>
      </c>
      <c r="AE61" s="221">
        <v>21</v>
      </c>
      <c r="AF61" s="221">
        <v>21</v>
      </c>
      <c r="AG61" s="230"/>
      <c r="AH61" s="226">
        <f t="shared" si="2"/>
        <v>42.5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-432</v>
      </c>
      <c r="C63" s="245">
        <v>-429</v>
      </c>
      <c r="D63" s="245">
        <v>-417</v>
      </c>
      <c r="E63" s="245">
        <v>-420</v>
      </c>
      <c r="F63" s="245">
        <v>-410</v>
      </c>
      <c r="G63" s="245">
        <v>-408</v>
      </c>
      <c r="H63" s="245">
        <v>-422</v>
      </c>
      <c r="I63" s="245">
        <v>-405.7</v>
      </c>
      <c r="J63" s="245">
        <v>-380</v>
      </c>
      <c r="K63" s="245">
        <v>-355</v>
      </c>
      <c r="L63" s="245">
        <v>-345.2</v>
      </c>
      <c r="M63" s="245">
        <v>-352.9</v>
      </c>
      <c r="N63" s="245">
        <v>-340.7</v>
      </c>
      <c r="O63" s="245">
        <v>-320.2</v>
      </c>
      <c r="P63" s="245">
        <v>-392.5</v>
      </c>
      <c r="Q63" s="245">
        <v>-425</v>
      </c>
      <c r="R63" s="245">
        <v>-411</v>
      </c>
      <c r="S63" s="245">
        <v>-378.5</v>
      </c>
      <c r="T63" s="245">
        <v>-343</v>
      </c>
      <c r="U63" s="245">
        <v>-367</v>
      </c>
      <c r="V63" s="245">
        <v>-374.7</v>
      </c>
      <c r="W63" s="245">
        <v>-380</v>
      </c>
      <c r="X63" s="245">
        <v>-420</v>
      </c>
      <c r="Y63" s="245">
        <v>-252.2</v>
      </c>
      <c r="Z63" s="245">
        <v>-262.89999999999998</v>
      </c>
      <c r="AA63" s="245">
        <v>-274.39999999999998</v>
      </c>
      <c r="AB63" s="245">
        <v>-315.10000000000002</v>
      </c>
      <c r="AC63" s="245">
        <v>-337.5</v>
      </c>
      <c r="AD63" s="245">
        <v>-385.2</v>
      </c>
      <c r="AE63" s="245">
        <v>-420</v>
      </c>
      <c r="AF63" s="245">
        <v>-415</v>
      </c>
      <c r="AG63" s="255"/>
      <c r="AH63" s="226">
        <f t="shared" si="2"/>
        <v>-252.2</v>
      </c>
      <c r="AI63" s="227">
        <f t="shared" si="3"/>
        <v>-432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0</v>
      </c>
      <c r="F66" s="257">
        <v>0</v>
      </c>
      <c r="G66" s="257">
        <v>0</v>
      </c>
      <c r="H66" s="257">
        <v>0</v>
      </c>
      <c r="I66" s="221">
        <v>0</v>
      </c>
      <c r="J66" s="221">
        <v>0</v>
      </c>
      <c r="K66" s="221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5</v>
      </c>
      <c r="AA66" s="257">
        <v>5</v>
      </c>
      <c r="AB66" s="257">
        <v>5</v>
      </c>
      <c r="AC66" s="257">
        <v>5</v>
      </c>
      <c r="AD66" s="257">
        <v>5</v>
      </c>
      <c r="AE66" s="257">
        <v>5</v>
      </c>
      <c r="AF66" s="257">
        <v>5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21">
        <v>0</v>
      </c>
      <c r="J67" s="221">
        <v>0</v>
      </c>
      <c r="K67" s="221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21">
        <v>0</v>
      </c>
      <c r="J68" s="221">
        <v>0</v>
      </c>
      <c r="K68" s="221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21">
        <v>0</v>
      </c>
      <c r="J69" s="221">
        <v>0</v>
      </c>
      <c r="K69" s="221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21">
        <v>0</v>
      </c>
      <c r="J70" s="221">
        <v>0</v>
      </c>
      <c r="K70" s="221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21">
        <v>0</v>
      </c>
      <c r="J71" s="221">
        <v>0</v>
      </c>
      <c r="K71" s="221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19.5</v>
      </c>
      <c r="C72" s="241">
        <f t="shared" ref="C72:L72" si="8">SUMIF(C61:C71,"&gt;0")</f>
        <v>11.3</v>
      </c>
      <c r="D72" s="241">
        <f t="shared" si="8"/>
        <v>9.1999999999999993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ref="J72" si="9">SUMIF(J61:J71,"&gt;0")</f>
        <v>0</v>
      </c>
      <c r="K72" s="241">
        <f t="shared" si="8"/>
        <v>0</v>
      </c>
      <c r="L72" s="241">
        <f t="shared" si="8"/>
        <v>0</v>
      </c>
      <c r="M72" s="241">
        <f>SUMIF(M61:M71,"&gt;0")</f>
        <v>5</v>
      </c>
      <c r="N72" s="241">
        <f t="shared" ref="N72:AF72" si="10">SUMIF(N61:N71,"&gt;0")</f>
        <v>9</v>
      </c>
      <c r="O72" s="241">
        <f t="shared" si="10"/>
        <v>16</v>
      </c>
      <c r="P72" s="241">
        <f t="shared" si="10"/>
        <v>20.2</v>
      </c>
      <c r="Q72" s="241">
        <f t="shared" si="10"/>
        <v>14.73</v>
      </c>
      <c r="R72" s="241">
        <f t="shared" si="10"/>
        <v>12</v>
      </c>
      <c r="S72" s="241">
        <f t="shared" si="10"/>
        <v>40.869999999999997</v>
      </c>
      <c r="T72" s="241">
        <f t="shared" si="10"/>
        <v>8.5</v>
      </c>
      <c r="U72" s="241">
        <f t="shared" si="10"/>
        <v>5</v>
      </c>
      <c r="V72" s="241">
        <f t="shared" si="10"/>
        <v>6</v>
      </c>
      <c r="W72" s="241">
        <f t="shared" si="10"/>
        <v>0</v>
      </c>
      <c r="X72" s="241">
        <f t="shared" si="10"/>
        <v>17</v>
      </c>
      <c r="Y72" s="241">
        <f t="shared" si="10"/>
        <v>24.6</v>
      </c>
      <c r="Z72" s="241">
        <f t="shared" si="10"/>
        <v>47.5</v>
      </c>
      <c r="AA72" s="241">
        <f t="shared" si="10"/>
        <v>40.799999999999997</v>
      </c>
      <c r="AB72" s="241">
        <f t="shared" si="10"/>
        <v>5</v>
      </c>
      <c r="AC72" s="241">
        <f t="shared" si="10"/>
        <v>5</v>
      </c>
      <c r="AD72" s="241">
        <f t="shared" si="10"/>
        <v>27</v>
      </c>
      <c r="AE72" s="241">
        <f t="shared" si="10"/>
        <v>26</v>
      </c>
      <c r="AF72" s="241">
        <f t="shared" si="10"/>
        <v>26</v>
      </c>
      <c r="AG72" s="261">
        <f>SUM(AG61:AG71)</f>
        <v>0</v>
      </c>
      <c r="AH72" s="226">
        <f t="shared" si="2"/>
        <v>47.5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1753.6399999999999</v>
      </c>
      <c r="C77" s="263">
        <f t="shared" ref="C77:AF77" si="11">C38+C42+C60+C56+C72+C76</f>
        <v>1745.4399999999998</v>
      </c>
      <c r="D77" s="263">
        <f t="shared" si="11"/>
        <v>1686.24</v>
      </c>
      <c r="E77" s="263">
        <f t="shared" si="11"/>
        <v>1660.24</v>
      </c>
      <c r="F77" s="263">
        <f t="shared" si="11"/>
        <v>1651.84</v>
      </c>
      <c r="G77" s="263">
        <f t="shared" si="11"/>
        <v>1621.64</v>
      </c>
      <c r="H77" s="263">
        <f t="shared" si="11"/>
        <v>1657.74</v>
      </c>
      <c r="I77" s="263">
        <f t="shared" si="11"/>
        <v>1656.44</v>
      </c>
      <c r="J77" s="263">
        <f t="shared" si="11"/>
        <v>1665.64</v>
      </c>
      <c r="K77" s="263">
        <f t="shared" si="11"/>
        <v>1743.54</v>
      </c>
      <c r="L77" s="263">
        <f t="shared" si="11"/>
        <v>1737.94</v>
      </c>
      <c r="M77" s="263">
        <f t="shared" si="11"/>
        <v>1744.94</v>
      </c>
      <c r="N77" s="263">
        <f t="shared" si="11"/>
        <v>1727.8400000000001</v>
      </c>
      <c r="O77" s="263">
        <f t="shared" si="11"/>
        <v>1707.44</v>
      </c>
      <c r="P77" s="263">
        <f t="shared" si="11"/>
        <v>1800.0400000000002</v>
      </c>
      <c r="Q77" s="263">
        <f t="shared" si="11"/>
        <v>1802.67</v>
      </c>
      <c r="R77" s="263">
        <f t="shared" si="11"/>
        <v>1780.44</v>
      </c>
      <c r="S77" s="263">
        <f t="shared" si="11"/>
        <v>1801.61</v>
      </c>
      <c r="T77" s="263">
        <f t="shared" si="11"/>
        <v>1811.3400000000001</v>
      </c>
      <c r="U77" s="263">
        <f t="shared" si="11"/>
        <v>1798.8400000000001</v>
      </c>
      <c r="V77" s="263">
        <f t="shared" si="11"/>
        <v>1799.8400000000001</v>
      </c>
      <c r="W77" s="263">
        <f t="shared" si="11"/>
        <v>1793.8400000000001</v>
      </c>
      <c r="X77" s="263">
        <f t="shared" si="11"/>
        <v>1806.7400000000002</v>
      </c>
      <c r="Y77" s="263">
        <f t="shared" si="11"/>
        <v>1799.3400000000001</v>
      </c>
      <c r="Z77" s="263">
        <f t="shared" si="11"/>
        <v>1851.94</v>
      </c>
      <c r="AA77" s="263">
        <f t="shared" si="11"/>
        <v>1824.14</v>
      </c>
      <c r="AB77" s="263">
        <f t="shared" si="11"/>
        <v>1777.3400000000001</v>
      </c>
      <c r="AC77" s="263">
        <f t="shared" si="11"/>
        <v>1777.1399999999999</v>
      </c>
      <c r="AD77" s="263">
        <f t="shared" si="11"/>
        <v>1829.24</v>
      </c>
      <c r="AE77" s="263">
        <f t="shared" si="11"/>
        <v>1780.5400000000002</v>
      </c>
      <c r="AF77" s="263">
        <f t="shared" si="11"/>
        <v>1744.64</v>
      </c>
      <c r="AG77" s="242">
        <f>AG38+AG42+AG60+AG56+AG72+AG76</f>
        <v>1855.1900000000003</v>
      </c>
      <c r="AH77" s="226">
        <f t="shared" si="2"/>
        <v>1851.94</v>
      </c>
      <c r="AI77" s="227">
        <f t="shared" si="3"/>
        <v>1621.64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>
        <v>15</v>
      </c>
      <c r="AC78" s="265">
        <v>15</v>
      </c>
      <c r="AD78" s="265"/>
      <c r="AE78" s="265"/>
      <c r="AF78" s="265"/>
      <c r="AG78" s="261"/>
      <c r="AH78" s="226">
        <f t="shared" si="2"/>
        <v>15</v>
      </c>
      <c r="AI78" s="227">
        <f t="shared" si="3"/>
        <v>15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1753.6399999999999</v>
      </c>
      <c r="C79" s="263">
        <f t="shared" ref="C79:AF79" si="12">C77+C78</f>
        <v>1745.4399999999998</v>
      </c>
      <c r="D79" s="263">
        <f t="shared" si="12"/>
        <v>1686.24</v>
      </c>
      <c r="E79" s="263">
        <f t="shared" si="12"/>
        <v>1660.24</v>
      </c>
      <c r="F79" s="263">
        <f t="shared" si="12"/>
        <v>1651.84</v>
      </c>
      <c r="G79" s="263">
        <f t="shared" si="12"/>
        <v>1621.64</v>
      </c>
      <c r="H79" s="263">
        <f t="shared" si="12"/>
        <v>1657.74</v>
      </c>
      <c r="I79" s="263">
        <f t="shared" si="12"/>
        <v>1656.44</v>
      </c>
      <c r="J79" s="263">
        <f t="shared" si="12"/>
        <v>1665.64</v>
      </c>
      <c r="K79" s="263">
        <f t="shared" si="12"/>
        <v>1743.54</v>
      </c>
      <c r="L79" s="263">
        <f t="shared" si="12"/>
        <v>1737.94</v>
      </c>
      <c r="M79" s="263">
        <f t="shared" si="12"/>
        <v>1744.94</v>
      </c>
      <c r="N79" s="263">
        <f t="shared" si="12"/>
        <v>1727.8400000000001</v>
      </c>
      <c r="O79" s="263">
        <f t="shared" si="12"/>
        <v>1707.44</v>
      </c>
      <c r="P79" s="263">
        <f t="shared" si="12"/>
        <v>1800.0400000000002</v>
      </c>
      <c r="Q79" s="263">
        <f t="shared" si="12"/>
        <v>1802.67</v>
      </c>
      <c r="R79" s="263">
        <f t="shared" si="12"/>
        <v>1780.44</v>
      </c>
      <c r="S79" s="263">
        <f t="shared" si="12"/>
        <v>1801.61</v>
      </c>
      <c r="T79" s="263">
        <f t="shared" si="12"/>
        <v>1811.3400000000001</v>
      </c>
      <c r="U79" s="263">
        <f t="shared" si="12"/>
        <v>1798.8400000000001</v>
      </c>
      <c r="V79" s="263">
        <f t="shared" si="12"/>
        <v>1799.8400000000001</v>
      </c>
      <c r="W79" s="263">
        <f t="shared" si="12"/>
        <v>1793.8400000000001</v>
      </c>
      <c r="X79" s="263">
        <f t="shared" si="12"/>
        <v>1806.7400000000002</v>
      </c>
      <c r="Y79" s="263">
        <f t="shared" si="12"/>
        <v>1799.3400000000001</v>
      </c>
      <c r="Z79" s="263">
        <f t="shared" si="12"/>
        <v>1851.94</v>
      </c>
      <c r="AA79" s="263">
        <f t="shared" si="12"/>
        <v>1824.14</v>
      </c>
      <c r="AB79" s="263">
        <f t="shared" si="12"/>
        <v>1792.3400000000001</v>
      </c>
      <c r="AC79" s="263">
        <f t="shared" si="12"/>
        <v>1792.1399999999999</v>
      </c>
      <c r="AD79" s="263">
        <f t="shared" si="12"/>
        <v>1829.24</v>
      </c>
      <c r="AE79" s="263">
        <f t="shared" si="12"/>
        <v>1780.5400000000002</v>
      </c>
      <c r="AF79" s="263">
        <f t="shared" si="12"/>
        <v>1744.64</v>
      </c>
      <c r="AG79" s="261">
        <f>AG76+AG72+AG60+AG56+AG38+AG78</f>
        <v>1317.0900000000001</v>
      </c>
      <c r="AH79" s="226">
        <f t="shared" si="2"/>
        <v>1851.94</v>
      </c>
      <c r="AI79" s="227">
        <f t="shared" si="3"/>
        <v>1621.64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3">B79-B87</f>
        <v>1321.6399999999999</v>
      </c>
      <c r="C80" s="263">
        <f t="shared" si="13"/>
        <v>1316.4399999999998</v>
      </c>
      <c r="D80" s="263">
        <f t="shared" si="13"/>
        <v>1269.24</v>
      </c>
      <c r="E80" s="263">
        <f t="shared" si="13"/>
        <v>1240.24</v>
      </c>
      <c r="F80" s="263">
        <f t="shared" si="13"/>
        <v>1241.8399999999999</v>
      </c>
      <c r="G80" s="263">
        <f t="shared" si="13"/>
        <v>1213.6400000000001</v>
      </c>
      <c r="H80" s="263">
        <f t="shared" si="13"/>
        <v>1235.74</v>
      </c>
      <c r="I80" s="263">
        <f t="shared" si="13"/>
        <v>1250.74</v>
      </c>
      <c r="J80" s="263">
        <f t="shared" si="13"/>
        <v>1285.6400000000001</v>
      </c>
      <c r="K80" s="263">
        <f t="shared" si="13"/>
        <v>1388.54</v>
      </c>
      <c r="L80" s="263">
        <f t="shared" si="13"/>
        <v>1392.74</v>
      </c>
      <c r="M80" s="263">
        <f t="shared" si="13"/>
        <v>1392.04</v>
      </c>
      <c r="N80" s="263">
        <f t="shared" si="13"/>
        <v>1387.14</v>
      </c>
      <c r="O80" s="263">
        <f t="shared" si="13"/>
        <v>1387.24</v>
      </c>
      <c r="P80" s="263">
        <f t="shared" si="13"/>
        <v>1407.5400000000002</v>
      </c>
      <c r="Q80" s="263">
        <f t="shared" si="13"/>
        <v>1377.67</v>
      </c>
      <c r="R80" s="263">
        <f t="shared" si="13"/>
        <v>1369.44</v>
      </c>
      <c r="S80" s="263">
        <f t="shared" si="13"/>
        <v>1423.11</v>
      </c>
      <c r="T80" s="263">
        <f t="shared" si="13"/>
        <v>1468.3400000000001</v>
      </c>
      <c r="U80" s="263">
        <f t="shared" si="13"/>
        <v>1431.8400000000001</v>
      </c>
      <c r="V80" s="263">
        <f t="shared" si="13"/>
        <v>1425.14</v>
      </c>
      <c r="W80" s="263">
        <f t="shared" si="13"/>
        <v>1413.8400000000001</v>
      </c>
      <c r="X80" s="263">
        <f t="shared" si="13"/>
        <v>1386.7400000000002</v>
      </c>
      <c r="Y80" s="263">
        <f t="shared" si="13"/>
        <v>1547.14</v>
      </c>
      <c r="Z80" s="263">
        <f t="shared" si="13"/>
        <v>1589.04</v>
      </c>
      <c r="AA80" s="263">
        <f t="shared" si="13"/>
        <v>1549.7400000000002</v>
      </c>
      <c r="AB80" s="263">
        <f t="shared" si="13"/>
        <v>1477.2400000000002</v>
      </c>
      <c r="AC80" s="263">
        <f t="shared" si="13"/>
        <v>1454.6399999999999</v>
      </c>
      <c r="AD80" s="263">
        <f t="shared" si="13"/>
        <v>1444.04</v>
      </c>
      <c r="AE80" s="263">
        <f t="shared" si="13"/>
        <v>1360.5400000000002</v>
      </c>
      <c r="AF80" s="263">
        <f t="shared" si="13"/>
        <v>1329.64</v>
      </c>
      <c r="AG80" s="261"/>
      <c r="AH80" s="226">
        <f t="shared" ref="AH80:AH97" si="14">MAX(B80:AF80)</f>
        <v>1589.04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5">IF(C64&lt;0,C64*-1,0)</f>
        <v>0</v>
      </c>
      <c r="D81" s="256">
        <f t="shared" si="15"/>
        <v>0</v>
      </c>
      <c r="E81" s="256">
        <f t="shared" si="15"/>
        <v>0</v>
      </c>
      <c r="F81" s="256">
        <f t="shared" si="15"/>
        <v>0</v>
      </c>
      <c r="G81" s="256">
        <f t="shared" si="15"/>
        <v>0</v>
      </c>
      <c r="H81" s="256">
        <f t="shared" si="15"/>
        <v>0</v>
      </c>
      <c r="I81" s="256">
        <f t="shared" si="15"/>
        <v>0</v>
      </c>
      <c r="J81" s="256">
        <f t="shared" si="15"/>
        <v>0</v>
      </c>
      <c r="K81" s="256">
        <f t="shared" si="15"/>
        <v>0</v>
      </c>
      <c r="L81" s="256">
        <f t="shared" si="15"/>
        <v>0</v>
      </c>
      <c r="M81" s="256">
        <f t="shared" si="15"/>
        <v>0</v>
      </c>
      <c r="N81" s="256">
        <f t="shared" si="15"/>
        <v>0</v>
      </c>
      <c r="O81" s="256">
        <f t="shared" si="15"/>
        <v>0</v>
      </c>
      <c r="P81" s="256">
        <f t="shared" si="15"/>
        <v>0</v>
      </c>
      <c r="Q81" s="256">
        <f t="shared" si="15"/>
        <v>0</v>
      </c>
      <c r="R81" s="256">
        <f t="shared" si="15"/>
        <v>0</v>
      </c>
      <c r="S81" s="256">
        <f t="shared" si="15"/>
        <v>0</v>
      </c>
      <c r="T81" s="256">
        <f t="shared" si="15"/>
        <v>0</v>
      </c>
      <c r="U81" s="256">
        <f t="shared" si="15"/>
        <v>0</v>
      </c>
      <c r="V81" s="256">
        <f t="shared" si="15"/>
        <v>0</v>
      </c>
      <c r="W81" s="256">
        <f t="shared" si="15"/>
        <v>0</v>
      </c>
      <c r="X81" s="256">
        <f t="shared" si="15"/>
        <v>0</v>
      </c>
      <c r="Y81" s="256">
        <f t="shared" si="15"/>
        <v>0</v>
      </c>
      <c r="Z81" s="256">
        <f t="shared" si="15"/>
        <v>0</v>
      </c>
      <c r="AA81" s="256">
        <f t="shared" si="15"/>
        <v>0</v>
      </c>
      <c r="AB81" s="256">
        <f t="shared" si="15"/>
        <v>0</v>
      </c>
      <c r="AC81" s="256">
        <f t="shared" si="15"/>
        <v>0</v>
      </c>
      <c r="AD81" s="256">
        <f t="shared" si="15"/>
        <v>0</v>
      </c>
      <c r="AE81" s="256">
        <f t="shared" si="15"/>
        <v>0</v>
      </c>
      <c r="AF81" s="256">
        <f t="shared" si="15"/>
        <v>0</v>
      </c>
      <c r="AG81" s="230"/>
      <c r="AH81" s="226">
        <f t="shared" si="14"/>
        <v>0</v>
      </c>
      <c r="AI81" s="227">
        <f t="shared" ref="AI81:AI97" si="1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7">IF(C62&lt;0,C62*-1,0)</f>
        <v>0</v>
      </c>
      <c r="D82" s="256">
        <f t="shared" si="17"/>
        <v>0</v>
      </c>
      <c r="E82" s="256">
        <f t="shared" si="17"/>
        <v>0</v>
      </c>
      <c r="F82" s="256">
        <f t="shared" si="17"/>
        <v>0</v>
      </c>
      <c r="G82" s="256">
        <f t="shared" si="17"/>
        <v>0</v>
      </c>
      <c r="H82" s="256">
        <f t="shared" si="17"/>
        <v>0</v>
      </c>
      <c r="I82" s="256">
        <f t="shared" si="17"/>
        <v>0</v>
      </c>
      <c r="J82" s="256">
        <f t="shared" si="17"/>
        <v>0</v>
      </c>
      <c r="K82" s="256">
        <f t="shared" si="17"/>
        <v>0</v>
      </c>
      <c r="L82" s="256">
        <f t="shared" si="17"/>
        <v>0</v>
      </c>
      <c r="M82" s="256">
        <f t="shared" si="17"/>
        <v>0</v>
      </c>
      <c r="N82" s="256">
        <f t="shared" si="17"/>
        <v>0</v>
      </c>
      <c r="O82" s="256">
        <f t="shared" si="17"/>
        <v>0</v>
      </c>
      <c r="P82" s="256">
        <f t="shared" si="17"/>
        <v>0</v>
      </c>
      <c r="Q82" s="256">
        <f t="shared" si="17"/>
        <v>0</v>
      </c>
      <c r="R82" s="256">
        <f t="shared" si="17"/>
        <v>0</v>
      </c>
      <c r="S82" s="256">
        <f t="shared" si="17"/>
        <v>0</v>
      </c>
      <c r="T82" s="256">
        <f t="shared" si="17"/>
        <v>0</v>
      </c>
      <c r="U82" s="256">
        <f t="shared" si="17"/>
        <v>0</v>
      </c>
      <c r="V82" s="256">
        <f t="shared" si="17"/>
        <v>0</v>
      </c>
      <c r="W82" s="256">
        <f t="shared" si="17"/>
        <v>0</v>
      </c>
      <c r="X82" s="256">
        <f t="shared" si="17"/>
        <v>0</v>
      </c>
      <c r="Y82" s="256">
        <f t="shared" si="17"/>
        <v>0</v>
      </c>
      <c r="Z82" s="256">
        <f t="shared" si="17"/>
        <v>0</v>
      </c>
      <c r="AA82" s="256">
        <f t="shared" si="17"/>
        <v>0</v>
      </c>
      <c r="AB82" s="256">
        <f t="shared" si="17"/>
        <v>0</v>
      </c>
      <c r="AC82" s="256">
        <f t="shared" si="17"/>
        <v>0</v>
      </c>
      <c r="AD82" s="256">
        <f t="shared" si="17"/>
        <v>0</v>
      </c>
      <c r="AE82" s="256">
        <f t="shared" si="17"/>
        <v>0</v>
      </c>
      <c r="AF82" s="256">
        <f t="shared" si="17"/>
        <v>0</v>
      </c>
      <c r="AG82" s="235"/>
      <c r="AH82" s="226">
        <f t="shared" si="14"/>
        <v>0</v>
      </c>
      <c r="AI82" s="227">
        <f t="shared" si="1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8">IF(C65&lt;0,C65*-1,0)</f>
        <v>0</v>
      </c>
      <c r="D83" s="256">
        <f t="shared" si="18"/>
        <v>0</v>
      </c>
      <c r="E83" s="256">
        <f t="shared" si="18"/>
        <v>0</v>
      </c>
      <c r="F83" s="256">
        <f t="shared" si="18"/>
        <v>0</v>
      </c>
      <c r="G83" s="256">
        <f t="shared" si="18"/>
        <v>0</v>
      </c>
      <c r="H83" s="256">
        <f t="shared" si="18"/>
        <v>0</v>
      </c>
      <c r="I83" s="256">
        <f t="shared" si="18"/>
        <v>0</v>
      </c>
      <c r="J83" s="256">
        <f t="shared" si="18"/>
        <v>0</v>
      </c>
      <c r="K83" s="256">
        <f t="shared" si="18"/>
        <v>0</v>
      </c>
      <c r="L83" s="256">
        <f t="shared" si="18"/>
        <v>0</v>
      </c>
      <c r="M83" s="256">
        <f t="shared" si="18"/>
        <v>0</v>
      </c>
      <c r="N83" s="256">
        <f t="shared" si="18"/>
        <v>0</v>
      </c>
      <c r="O83" s="256">
        <f t="shared" si="18"/>
        <v>0</v>
      </c>
      <c r="P83" s="256">
        <f t="shared" si="18"/>
        <v>0</v>
      </c>
      <c r="Q83" s="256">
        <f t="shared" si="18"/>
        <v>0</v>
      </c>
      <c r="R83" s="256">
        <f t="shared" si="18"/>
        <v>0</v>
      </c>
      <c r="S83" s="256">
        <f t="shared" si="18"/>
        <v>0</v>
      </c>
      <c r="T83" s="256">
        <f t="shared" si="18"/>
        <v>0</v>
      </c>
      <c r="U83" s="256">
        <f t="shared" si="18"/>
        <v>0</v>
      </c>
      <c r="V83" s="256">
        <f t="shared" si="18"/>
        <v>0</v>
      </c>
      <c r="W83" s="256">
        <f t="shared" si="18"/>
        <v>0</v>
      </c>
      <c r="X83" s="256">
        <f t="shared" si="18"/>
        <v>0</v>
      </c>
      <c r="Y83" s="256">
        <f t="shared" si="18"/>
        <v>0</v>
      </c>
      <c r="Z83" s="256">
        <f t="shared" si="18"/>
        <v>0</v>
      </c>
      <c r="AA83" s="256">
        <f t="shared" si="18"/>
        <v>0</v>
      </c>
      <c r="AB83" s="256">
        <f t="shared" si="18"/>
        <v>0</v>
      </c>
      <c r="AC83" s="256">
        <f t="shared" si="18"/>
        <v>0</v>
      </c>
      <c r="AD83" s="256">
        <f t="shared" si="18"/>
        <v>0</v>
      </c>
      <c r="AE83" s="256">
        <f t="shared" si="18"/>
        <v>0</v>
      </c>
      <c r="AF83" s="256">
        <f t="shared" si="18"/>
        <v>0</v>
      </c>
      <c r="AG83" s="266"/>
      <c r="AH83" s="226">
        <f t="shared" si="14"/>
        <v>0</v>
      </c>
      <c r="AI83" s="227">
        <f t="shared" si="1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432</v>
      </c>
      <c r="C84" s="256">
        <f t="shared" ref="C84:AF84" si="19">IF(C63&lt;0,C63*-1,0)</f>
        <v>429</v>
      </c>
      <c r="D84" s="256">
        <f t="shared" si="19"/>
        <v>417</v>
      </c>
      <c r="E84" s="256">
        <f t="shared" si="19"/>
        <v>420</v>
      </c>
      <c r="F84" s="256">
        <f t="shared" si="19"/>
        <v>410</v>
      </c>
      <c r="G84" s="256">
        <f t="shared" si="19"/>
        <v>408</v>
      </c>
      <c r="H84" s="256">
        <f t="shared" si="19"/>
        <v>422</v>
      </c>
      <c r="I84" s="256">
        <f t="shared" si="19"/>
        <v>405.7</v>
      </c>
      <c r="J84" s="256">
        <f t="shared" si="19"/>
        <v>380</v>
      </c>
      <c r="K84" s="256">
        <f t="shared" si="19"/>
        <v>355</v>
      </c>
      <c r="L84" s="256">
        <f t="shared" si="19"/>
        <v>345.2</v>
      </c>
      <c r="M84" s="256">
        <f t="shared" si="19"/>
        <v>352.9</v>
      </c>
      <c r="N84" s="256">
        <f t="shared" si="19"/>
        <v>340.7</v>
      </c>
      <c r="O84" s="256">
        <f t="shared" si="19"/>
        <v>320.2</v>
      </c>
      <c r="P84" s="256">
        <f t="shared" si="19"/>
        <v>392.5</v>
      </c>
      <c r="Q84" s="256">
        <f t="shared" si="19"/>
        <v>425</v>
      </c>
      <c r="R84" s="256">
        <f t="shared" si="19"/>
        <v>411</v>
      </c>
      <c r="S84" s="256">
        <f t="shared" si="19"/>
        <v>378.5</v>
      </c>
      <c r="T84" s="256">
        <f t="shared" si="19"/>
        <v>343</v>
      </c>
      <c r="U84" s="256">
        <f t="shared" si="19"/>
        <v>367</v>
      </c>
      <c r="V84" s="256">
        <f t="shared" si="19"/>
        <v>374.7</v>
      </c>
      <c r="W84" s="256">
        <f t="shared" si="19"/>
        <v>380</v>
      </c>
      <c r="X84" s="256">
        <f t="shared" si="19"/>
        <v>420</v>
      </c>
      <c r="Y84" s="256">
        <f t="shared" si="19"/>
        <v>252.2</v>
      </c>
      <c r="Z84" s="256">
        <f t="shared" si="19"/>
        <v>262.89999999999998</v>
      </c>
      <c r="AA84" s="256">
        <f t="shared" si="19"/>
        <v>274.39999999999998</v>
      </c>
      <c r="AB84" s="256">
        <f t="shared" si="19"/>
        <v>315.10000000000002</v>
      </c>
      <c r="AC84" s="256">
        <f t="shared" si="19"/>
        <v>337.5</v>
      </c>
      <c r="AD84" s="256">
        <f t="shared" si="19"/>
        <v>385.2</v>
      </c>
      <c r="AE84" s="256">
        <f t="shared" si="19"/>
        <v>420</v>
      </c>
      <c r="AF84" s="256">
        <f t="shared" si="19"/>
        <v>415</v>
      </c>
      <c r="AG84" s="266"/>
      <c r="AH84" s="226">
        <f t="shared" si="14"/>
        <v>432</v>
      </c>
      <c r="AI84" s="227">
        <f t="shared" si="16"/>
        <v>252.2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0">IF(C61&lt;0,C61*-1,0)</f>
        <v>0</v>
      </c>
      <c r="D85" s="256">
        <f t="shared" si="20"/>
        <v>0</v>
      </c>
      <c r="E85" s="256">
        <f t="shared" si="20"/>
        <v>0</v>
      </c>
      <c r="F85" s="256">
        <f t="shared" si="20"/>
        <v>0</v>
      </c>
      <c r="G85" s="256">
        <f t="shared" si="20"/>
        <v>0</v>
      </c>
      <c r="H85" s="256">
        <f t="shared" si="20"/>
        <v>0</v>
      </c>
      <c r="I85" s="256">
        <f t="shared" si="20"/>
        <v>0</v>
      </c>
      <c r="J85" s="256">
        <f t="shared" si="20"/>
        <v>0</v>
      </c>
      <c r="K85" s="256">
        <f t="shared" si="20"/>
        <v>0</v>
      </c>
      <c r="L85" s="256">
        <f t="shared" si="20"/>
        <v>0</v>
      </c>
      <c r="M85" s="256">
        <f t="shared" si="20"/>
        <v>0</v>
      </c>
      <c r="N85" s="256">
        <f t="shared" si="20"/>
        <v>0</v>
      </c>
      <c r="O85" s="256">
        <f t="shared" si="20"/>
        <v>0</v>
      </c>
      <c r="P85" s="256">
        <f t="shared" si="20"/>
        <v>0</v>
      </c>
      <c r="Q85" s="256">
        <f t="shared" si="20"/>
        <v>0</v>
      </c>
      <c r="R85" s="256">
        <f t="shared" si="20"/>
        <v>0</v>
      </c>
      <c r="S85" s="256">
        <f t="shared" si="20"/>
        <v>0</v>
      </c>
      <c r="T85" s="256">
        <f t="shared" si="20"/>
        <v>0</v>
      </c>
      <c r="U85" s="256">
        <f t="shared" si="20"/>
        <v>0</v>
      </c>
      <c r="V85" s="256">
        <f t="shared" si="20"/>
        <v>0</v>
      </c>
      <c r="W85" s="256">
        <f t="shared" si="20"/>
        <v>0</v>
      </c>
      <c r="X85" s="256">
        <f t="shared" si="20"/>
        <v>0</v>
      </c>
      <c r="Y85" s="256">
        <f t="shared" si="20"/>
        <v>0</v>
      </c>
      <c r="Z85" s="256">
        <f t="shared" si="20"/>
        <v>0</v>
      </c>
      <c r="AA85" s="256">
        <f t="shared" si="20"/>
        <v>0</v>
      </c>
      <c r="AB85" s="256">
        <f t="shared" si="20"/>
        <v>0</v>
      </c>
      <c r="AC85" s="256">
        <f t="shared" si="20"/>
        <v>0</v>
      </c>
      <c r="AD85" s="256">
        <f t="shared" si="20"/>
        <v>0</v>
      </c>
      <c r="AE85" s="256">
        <f t="shared" si="20"/>
        <v>0</v>
      </c>
      <c r="AF85" s="256">
        <f t="shared" si="20"/>
        <v>0</v>
      </c>
      <c r="AG85" s="266"/>
      <c r="AH85" s="226">
        <f t="shared" si="14"/>
        <v>0</v>
      </c>
      <c r="AI85" s="227">
        <f t="shared" si="1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4"/>
        <v>0</v>
      </c>
      <c r="AI86" s="227">
        <f t="shared" si="1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432</v>
      </c>
      <c r="C87" s="241">
        <f t="shared" ref="C87:AF87" si="21">SUM(C81:C86)</f>
        <v>429</v>
      </c>
      <c r="D87" s="241">
        <f t="shared" si="21"/>
        <v>417</v>
      </c>
      <c r="E87" s="241">
        <f t="shared" si="21"/>
        <v>420</v>
      </c>
      <c r="F87" s="241">
        <f t="shared" si="21"/>
        <v>410</v>
      </c>
      <c r="G87" s="241">
        <f t="shared" si="21"/>
        <v>408</v>
      </c>
      <c r="H87" s="241">
        <f t="shared" si="21"/>
        <v>422</v>
      </c>
      <c r="I87" s="241">
        <f t="shared" si="21"/>
        <v>405.7</v>
      </c>
      <c r="J87" s="241">
        <f t="shared" si="21"/>
        <v>380</v>
      </c>
      <c r="K87" s="241">
        <f t="shared" si="21"/>
        <v>355</v>
      </c>
      <c r="L87" s="241">
        <f t="shared" si="21"/>
        <v>345.2</v>
      </c>
      <c r="M87" s="241">
        <f t="shared" si="21"/>
        <v>352.9</v>
      </c>
      <c r="N87" s="241">
        <f t="shared" si="21"/>
        <v>340.7</v>
      </c>
      <c r="O87" s="241">
        <f t="shared" si="21"/>
        <v>320.2</v>
      </c>
      <c r="P87" s="241">
        <f t="shared" si="21"/>
        <v>392.5</v>
      </c>
      <c r="Q87" s="241">
        <f t="shared" si="21"/>
        <v>425</v>
      </c>
      <c r="R87" s="241">
        <f t="shared" si="21"/>
        <v>411</v>
      </c>
      <c r="S87" s="241">
        <f t="shared" si="21"/>
        <v>378.5</v>
      </c>
      <c r="T87" s="241">
        <f t="shared" si="21"/>
        <v>343</v>
      </c>
      <c r="U87" s="241">
        <f t="shared" si="21"/>
        <v>367</v>
      </c>
      <c r="V87" s="241">
        <f t="shared" si="21"/>
        <v>374.7</v>
      </c>
      <c r="W87" s="241">
        <f t="shared" si="21"/>
        <v>380</v>
      </c>
      <c r="X87" s="241">
        <f t="shared" si="21"/>
        <v>420</v>
      </c>
      <c r="Y87" s="241">
        <f t="shared" si="21"/>
        <v>252.2</v>
      </c>
      <c r="Z87" s="241">
        <f t="shared" si="21"/>
        <v>262.89999999999998</v>
      </c>
      <c r="AA87" s="241">
        <f t="shared" si="21"/>
        <v>274.39999999999998</v>
      </c>
      <c r="AB87" s="241">
        <f t="shared" si="21"/>
        <v>315.10000000000002</v>
      </c>
      <c r="AC87" s="241">
        <f t="shared" si="21"/>
        <v>337.5</v>
      </c>
      <c r="AD87" s="241">
        <f t="shared" si="21"/>
        <v>385.2</v>
      </c>
      <c r="AE87" s="241">
        <f t="shared" si="21"/>
        <v>420</v>
      </c>
      <c r="AF87" s="241">
        <f t="shared" si="21"/>
        <v>415</v>
      </c>
      <c r="AG87" s="261"/>
      <c r="AH87" s="226">
        <f t="shared" si="14"/>
        <v>432</v>
      </c>
      <c r="AI87" s="227">
        <f t="shared" si="16"/>
        <v>252.2</v>
      </c>
      <c r="AK87" s="228"/>
    </row>
    <row r="88" spans="1:88" s="175" customFormat="1" ht="15.75" thickBot="1" x14ac:dyDescent="0.3">
      <c r="A88" s="254" t="s">
        <v>93</v>
      </c>
      <c r="B88" s="241">
        <f>B72-B87</f>
        <v>-412.5</v>
      </c>
      <c r="C88" s="241">
        <f t="shared" ref="C88:AF88" si="22">C72-C87</f>
        <v>-417.7</v>
      </c>
      <c r="D88" s="241">
        <f t="shared" si="22"/>
        <v>-407.8</v>
      </c>
      <c r="E88" s="241">
        <f t="shared" si="22"/>
        <v>-420</v>
      </c>
      <c r="F88" s="241">
        <f t="shared" si="22"/>
        <v>-410</v>
      </c>
      <c r="G88" s="241">
        <f t="shared" si="22"/>
        <v>-408</v>
      </c>
      <c r="H88" s="241">
        <f t="shared" si="22"/>
        <v>-422</v>
      </c>
      <c r="I88" s="241">
        <f t="shared" si="22"/>
        <v>-405.7</v>
      </c>
      <c r="J88" s="241">
        <f t="shared" si="22"/>
        <v>-380</v>
      </c>
      <c r="K88" s="241">
        <f t="shared" si="22"/>
        <v>-355</v>
      </c>
      <c r="L88" s="241">
        <f t="shared" si="22"/>
        <v>-345.2</v>
      </c>
      <c r="M88" s="241">
        <f t="shared" si="22"/>
        <v>-347.9</v>
      </c>
      <c r="N88" s="241">
        <f t="shared" si="22"/>
        <v>-331.7</v>
      </c>
      <c r="O88" s="241">
        <f t="shared" si="22"/>
        <v>-304.2</v>
      </c>
      <c r="P88" s="241">
        <f t="shared" si="22"/>
        <v>-372.3</v>
      </c>
      <c r="Q88" s="241">
        <f t="shared" si="22"/>
        <v>-410.27</v>
      </c>
      <c r="R88" s="241">
        <f t="shared" si="22"/>
        <v>-399</v>
      </c>
      <c r="S88" s="241">
        <f t="shared" si="22"/>
        <v>-337.63</v>
      </c>
      <c r="T88" s="241">
        <f t="shared" si="22"/>
        <v>-334.5</v>
      </c>
      <c r="U88" s="241">
        <f t="shared" si="22"/>
        <v>-362</v>
      </c>
      <c r="V88" s="241">
        <f t="shared" si="22"/>
        <v>-368.7</v>
      </c>
      <c r="W88" s="241">
        <f t="shared" si="22"/>
        <v>-380</v>
      </c>
      <c r="X88" s="241">
        <f t="shared" si="22"/>
        <v>-403</v>
      </c>
      <c r="Y88" s="241">
        <f t="shared" si="22"/>
        <v>-227.6</v>
      </c>
      <c r="Z88" s="241">
        <f t="shared" si="22"/>
        <v>-215.39999999999998</v>
      </c>
      <c r="AA88" s="241">
        <f t="shared" si="22"/>
        <v>-233.59999999999997</v>
      </c>
      <c r="AB88" s="241">
        <f t="shared" si="22"/>
        <v>-310.10000000000002</v>
      </c>
      <c r="AC88" s="241">
        <f t="shared" si="22"/>
        <v>-332.5</v>
      </c>
      <c r="AD88" s="241">
        <f t="shared" si="22"/>
        <v>-358.2</v>
      </c>
      <c r="AE88" s="241">
        <f t="shared" si="22"/>
        <v>-394</v>
      </c>
      <c r="AF88" s="241">
        <f t="shared" si="22"/>
        <v>-389</v>
      </c>
      <c r="AG88" s="261"/>
      <c r="AH88" s="226">
        <f t="shared" si="14"/>
        <v>-215.39999999999998</v>
      </c>
      <c r="AI88" s="227">
        <f t="shared" si="16"/>
        <v>-422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49.91</v>
      </c>
      <c r="C89" s="269">
        <v>49.962000000000003</v>
      </c>
      <c r="D89" s="269">
        <v>49.987000000000002</v>
      </c>
      <c r="E89" s="269">
        <v>50.01</v>
      </c>
      <c r="F89" s="269">
        <v>50</v>
      </c>
      <c r="G89" s="269">
        <v>50.03</v>
      </c>
      <c r="H89" s="269">
        <v>49.99</v>
      </c>
      <c r="I89" s="269">
        <v>49.98</v>
      </c>
      <c r="J89" s="269">
        <v>49.98</v>
      </c>
      <c r="K89" s="269">
        <v>50.04</v>
      </c>
      <c r="L89" s="269">
        <v>50.01</v>
      </c>
      <c r="M89" s="269">
        <v>50.103000000000002</v>
      </c>
      <c r="N89" s="269">
        <v>50.103000000000002</v>
      </c>
      <c r="O89" s="269">
        <v>50.058</v>
      </c>
      <c r="P89" s="269">
        <v>50.067999999999998</v>
      </c>
      <c r="Q89" s="269">
        <v>49.985999999999997</v>
      </c>
      <c r="R89" s="269">
        <v>50</v>
      </c>
      <c r="S89" s="269">
        <v>50.021000000000001</v>
      </c>
      <c r="T89" s="269">
        <v>50</v>
      </c>
      <c r="U89" s="269">
        <v>49.945</v>
      </c>
      <c r="V89" s="269">
        <v>49.969000000000001</v>
      </c>
      <c r="W89" s="269">
        <v>49.8</v>
      </c>
      <c r="X89" s="269">
        <v>50</v>
      </c>
      <c r="Y89" s="269">
        <v>50.029000000000003</v>
      </c>
      <c r="Z89" s="269">
        <v>49.984999999999999</v>
      </c>
      <c r="AA89" s="269">
        <v>50.008000000000003</v>
      </c>
      <c r="AB89" s="269">
        <v>50.073</v>
      </c>
      <c r="AC89" s="269">
        <v>50.021000000000001</v>
      </c>
      <c r="AD89" s="269">
        <v>50.006</v>
      </c>
      <c r="AE89" s="269">
        <v>50.000999999999998</v>
      </c>
      <c r="AF89" s="269">
        <v>50.040999999999997</v>
      </c>
      <c r="AG89" s="270"/>
      <c r="AH89" s="226">
        <f t="shared" si="14"/>
        <v>50.103000000000002</v>
      </c>
      <c r="AI89" s="227">
        <f t="shared" si="16"/>
        <v>49.8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122.4</v>
      </c>
      <c r="C90" s="245">
        <v>124.7</v>
      </c>
      <c r="D90" s="245">
        <v>124.6</v>
      </c>
      <c r="E90" s="245">
        <v>124.7</v>
      </c>
      <c r="F90" s="245">
        <v>125.8</v>
      </c>
      <c r="G90" s="245">
        <v>124.1</v>
      </c>
      <c r="H90" s="245">
        <v>125</v>
      </c>
      <c r="I90" s="245">
        <v>123.1</v>
      </c>
      <c r="J90" s="245">
        <v>122.7</v>
      </c>
      <c r="K90" s="245">
        <v>123.5</v>
      </c>
      <c r="L90" s="245">
        <v>121.4</v>
      </c>
      <c r="M90" s="245">
        <v>122</v>
      </c>
      <c r="N90" s="245">
        <v>123</v>
      </c>
      <c r="O90" s="245">
        <v>120.3</v>
      </c>
      <c r="P90" s="245">
        <v>121.7</v>
      </c>
      <c r="Q90" s="245">
        <v>121.8</v>
      </c>
      <c r="R90" s="245">
        <v>122</v>
      </c>
      <c r="S90" s="245">
        <v>122</v>
      </c>
      <c r="T90" s="245">
        <v>122</v>
      </c>
      <c r="U90" s="245">
        <v>122.3</v>
      </c>
      <c r="V90" s="245">
        <v>122.3</v>
      </c>
      <c r="W90" s="245">
        <v>122.3</v>
      </c>
      <c r="X90" s="245">
        <v>124</v>
      </c>
      <c r="Y90" s="245">
        <v>123.4</v>
      </c>
      <c r="Z90" s="245">
        <v>123.2</v>
      </c>
      <c r="AA90" s="245">
        <v>123.2</v>
      </c>
      <c r="AB90" s="245">
        <v>124.7</v>
      </c>
      <c r="AC90" s="245">
        <v>125</v>
      </c>
      <c r="AD90" s="245">
        <v>125</v>
      </c>
      <c r="AE90" s="245">
        <v>125.8</v>
      </c>
      <c r="AF90" s="245">
        <v>125.4</v>
      </c>
      <c r="AG90" s="272"/>
      <c r="AH90" s="226">
        <f t="shared" si="14"/>
        <v>125.8</v>
      </c>
      <c r="AI90" s="227">
        <f t="shared" si="16"/>
        <v>120.3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127.8</v>
      </c>
      <c r="C91" s="245">
        <v>129.30000000000001</v>
      </c>
      <c r="D91" s="245">
        <v>129.30000000000001</v>
      </c>
      <c r="E91" s="245">
        <v>129.6</v>
      </c>
      <c r="F91" s="245">
        <v>129.9</v>
      </c>
      <c r="G91" s="245">
        <v>128.6</v>
      </c>
      <c r="H91" s="245">
        <v>128.9</v>
      </c>
      <c r="I91" s="245">
        <v>127.2</v>
      </c>
      <c r="J91" s="245">
        <v>126.8</v>
      </c>
      <c r="K91" s="245">
        <v>127.2</v>
      </c>
      <c r="L91" s="245">
        <v>125.6</v>
      </c>
      <c r="M91" s="245">
        <v>125.8</v>
      </c>
      <c r="N91" s="245">
        <v>126.7</v>
      </c>
      <c r="O91" s="245">
        <v>125</v>
      </c>
      <c r="P91" s="245">
        <v>125.5</v>
      </c>
      <c r="Q91" s="245">
        <v>125.7</v>
      </c>
      <c r="R91" s="245">
        <v>126.3</v>
      </c>
      <c r="S91" s="245">
        <v>126.3</v>
      </c>
      <c r="T91" s="245">
        <v>126.3</v>
      </c>
      <c r="U91" s="245">
        <v>126.3</v>
      </c>
      <c r="V91" s="245">
        <v>126.3</v>
      </c>
      <c r="W91" s="245">
        <v>126.3</v>
      </c>
      <c r="X91" s="245">
        <v>127.6</v>
      </c>
      <c r="Y91" s="245">
        <v>126.5</v>
      </c>
      <c r="Z91" s="245">
        <v>126.5</v>
      </c>
      <c r="AA91" s="245">
        <v>126.5</v>
      </c>
      <c r="AB91" s="245">
        <v>128.5</v>
      </c>
      <c r="AC91" s="245">
        <v>128.9</v>
      </c>
      <c r="AD91" s="245">
        <v>129</v>
      </c>
      <c r="AE91" s="245">
        <v>130</v>
      </c>
      <c r="AF91" s="245">
        <v>130.19999999999999</v>
      </c>
      <c r="AG91" s="272"/>
      <c r="AH91" s="226">
        <f t="shared" si="14"/>
        <v>130.19999999999999</v>
      </c>
      <c r="AI91" s="227">
        <f t="shared" si="16"/>
        <v>125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129.4</v>
      </c>
      <c r="C92" s="245">
        <v>130.1</v>
      </c>
      <c r="D92" s="245">
        <v>131.5</v>
      </c>
      <c r="E92" s="245">
        <v>132.1</v>
      </c>
      <c r="F92" s="245">
        <v>132.6</v>
      </c>
      <c r="G92" s="245">
        <v>131.4</v>
      </c>
      <c r="H92" s="245">
        <v>132.30000000000001</v>
      </c>
      <c r="I92" s="245">
        <v>130.6</v>
      </c>
      <c r="J92" s="245">
        <v>128.69999999999999</v>
      </c>
      <c r="K92" s="245">
        <v>130.4</v>
      </c>
      <c r="L92" s="245">
        <v>128.1</v>
      </c>
      <c r="M92" s="245">
        <v>128.9</v>
      </c>
      <c r="N92" s="245">
        <v>129.80000000000001</v>
      </c>
      <c r="O92" s="245">
        <v>128.69999999999999</v>
      </c>
      <c r="P92" s="245">
        <v>129.5</v>
      </c>
      <c r="Q92" s="245">
        <v>130.4</v>
      </c>
      <c r="R92" s="245">
        <v>131</v>
      </c>
      <c r="S92" s="245">
        <v>131</v>
      </c>
      <c r="T92" s="245">
        <v>131</v>
      </c>
      <c r="U92" s="245">
        <v>127</v>
      </c>
      <c r="V92" s="245">
        <v>127</v>
      </c>
      <c r="W92" s="245">
        <v>127</v>
      </c>
      <c r="X92" s="245">
        <v>130</v>
      </c>
      <c r="Y92" s="245">
        <v>128.9</v>
      </c>
      <c r="Z92" s="245">
        <v>130.9</v>
      </c>
      <c r="AA92" s="245">
        <v>130.9</v>
      </c>
      <c r="AB92" s="245">
        <v>127.8</v>
      </c>
      <c r="AC92" s="245">
        <v>128.69999999999999</v>
      </c>
      <c r="AD92" s="245">
        <v>129.19999999999999</v>
      </c>
      <c r="AE92" s="245">
        <v>129.6</v>
      </c>
      <c r="AF92" s="245">
        <v>129.19999999999999</v>
      </c>
      <c r="AG92" s="272"/>
      <c r="AH92" s="226">
        <f t="shared" si="14"/>
        <v>132.6</v>
      </c>
      <c r="AI92" s="227">
        <f t="shared" si="16"/>
        <v>127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131.69999999999999</v>
      </c>
      <c r="C93" s="245">
        <v>132.30000000000001</v>
      </c>
      <c r="D93" s="245">
        <v>133.30000000000001</v>
      </c>
      <c r="E93" s="245">
        <v>133.4</v>
      </c>
      <c r="F93" s="245">
        <v>133.69999999999999</v>
      </c>
      <c r="G93" s="245">
        <v>132.9</v>
      </c>
      <c r="H93" s="245">
        <v>133.4</v>
      </c>
      <c r="I93" s="245">
        <v>132</v>
      </c>
      <c r="J93" s="245">
        <v>130</v>
      </c>
      <c r="K93" s="245">
        <v>134.19999999999999</v>
      </c>
      <c r="L93" s="245">
        <v>131.6</v>
      </c>
      <c r="M93" s="245">
        <v>132.9</v>
      </c>
      <c r="N93" s="245">
        <v>132.4</v>
      </c>
      <c r="O93" s="245">
        <v>131.4</v>
      </c>
      <c r="P93" s="245">
        <v>132.19999999999999</v>
      </c>
      <c r="Q93" s="245">
        <v>132.80000000000001</v>
      </c>
      <c r="R93" s="245">
        <v>134</v>
      </c>
      <c r="S93" s="245">
        <v>134.19999999999999</v>
      </c>
      <c r="T93" s="245">
        <v>134.19999999999999</v>
      </c>
      <c r="U93" s="245">
        <v>130.9</v>
      </c>
      <c r="V93" s="245">
        <v>130.9</v>
      </c>
      <c r="W93" s="245">
        <v>130.9</v>
      </c>
      <c r="X93" s="245">
        <v>134</v>
      </c>
      <c r="Y93" s="245">
        <v>132.5</v>
      </c>
      <c r="Z93" s="245">
        <v>134.9</v>
      </c>
      <c r="AA93" s="245">
        <v>134.9</v>
      </c>
      <c r="AB93" s="245">
        <v>131.4</v>
      </c>
      <c r="AC93" s="245">
        <v>131.9</v>
      </c>
      <c r="AD93" s="245">
        <v>132.4</v>
      </c>
      <c r="AE93" s="245">
        <v>133.19999999999999</v>
      </c>
      <c r="AF93" s="245">
        <v>131.19999999999999</v>
      </c>
      <c r="AG93" s="272"/>
      <c r="AH93" s="226">
        <f t="shared" si="14"/>
        <v>134.9</v>
      </c>
      <c r="AI93" s="227">
        <f t="shared" si="16"/>
        <v>130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132.5</v>
      </c>
      <c r="C94" s="274">
        <v>133</v>
      </c>
      <c r="D94" s="274">
        <v>135.80000000000001</v>
      </c>
      <c r="E94" s="274">
        <v>133.9</v>
      </c>
      <c r="F94" s="274">
        <v>133.6</v>
      </c>
      <c r="G94" s="274">
        <v>131.9</v>
      </c>
      <c r="H94" s="274">
        <v>132.19999999999999</v>
      </c>
      <c r="I94" s="274">
        <v>132.30000000000001</v>
      </c>
      <c r="J94" s="274">
        <v>132.30000000000001</v>
      </c>
      <c r="K94" s="274">
        <v>130.9</v>
      </c>
      <c r="L94" s="274">
        <v>133.6</v>
      </c>
      <c r="M94" s="274">
        <v>130.9</v>
      </c>
      <c r="N94" s="274">
        <v>132</v>
      </c>
      <c r="O94" s="274">
        <v>130.19999999999999</v>
      </c>
      <c r="P94" s="274">
        <v>133.80000000000001</v>
      </c>
      <c r="Q94" s="274">
        <v>135.80000000000001</v>
      </c>
      <c r="R94" s="274">
        <v>134.5</v>
      </c>
      <c r="S94" s="274">
        <v>132.4</v>
      </c>
      <c r="T94" s="274">
        <v>132.4</v>
      </c>
      <c r="U94" s="274">
        <v>130.69999999999999</v>
      </c>
      <c r="V94" s="274">
        <v>130.69999999999999</v>
      </c>
      <c r="W94" s="274">
        <v>130.69999999999999</v>
      </c>
      <c r="X94" s="274">
        <v>135</v>
      </c>
      <c r="Y94" s="274">
        <v>135.4</v>
      </c>
      <c r="Z94" s="274">
        <v>131.69999999999999</v>
      </c>
      <c r="AA94" s="274">
        <v>131.69999999999999</v>
      </c>
      <c r="AB94" s="274">
        <v>131.80000000000001</v>
      </c>
      <c r="AC94" s="274">
        <v>134.30000000000001</v>
      </c>
      <c r="AD94" s="274">
        <v>131.5</v>
      </c>
      <c r="AE94" s="274">
        <v>132.4</v>
      </c>
      <c r="AF94" s="274">
        <v>132.80000000000001</v>
      </c>
      <c r="AG94" s="275"/>
      <c r="AH94" s="226">
        <f t="shared" si="14"/>
        <v>135.80000000000001</v>
      </c>
      <c r="AI94" s="227">
        <f t="shared" si="16"/>
        <v>130.19999999999999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129.9</v>
      </c>
      <c r="C95" s="245">
        <v>129.6</v>
      </c>
      <c r="D95" s="245">
        <v>135.69999999999999</v>
      </c>
      <c r="E95" s="245">
        <v>130.1</v>
      </c>
      <c r="F95" s="245">
        <v>129.30000000000001</v>
      </c>
      <c r="G95" s="245">
        <v>131.4</v>
      </c>
      <c r="H95" s="245">
        <v>129</v>
      </c>
      <c r="I95" s="245">
        <v>129.1</v>
      </c>
      <c r="J95" s="245">
        <v>127.3</v>
      </c>
      <c r="K95" s="245">
        <v>126.7</v>
      </c>
      <c r="L95" s="245">
        <v>133.4</v>
      </c>
      <c r="M95" s="245">
        <v>123.2</v>
      </c>
      <c r="N95" s="245">
        <v>134.4</v>
      </c>
      <c r="O95" s="245">
        <v>120.4</v>
      </c>
      <c r="P95" s="245">
        <v>129.69999999999999</v>
      </c>
      <c r="Q95" s="245">
        <v>130.19999999999999</v>
      </c>
      <c r="R95" s="245">
        <v>129</v>
      </c>
      <c r="S95" s="245">
        <v>127.6</v>
      </c>
      <c r="T95" s="245">
        <v>127.6</v>
      </c>
      <c r="U95" s="245">
        <v>124.5</v>
      </c>
      <c r="V95" s="245">
        <v>124.5</v>
      </c>
      <c r="W95" s="245">
        <v>124.5</v>
      </c>
      <c r="X95" s="245">
        <v>131</v>
      </c>
      <c r="Y95" s="245">
        <v>136.9</v>
      </c>
      <c r="Z95" s="245">
        <v>130.30000000000001</v>
      </c>
      <c r="AA95" s="245">
        <v>130.30000000000001</v>
      </c>
      <c r="AB95" s="245">
        <v>123.7</v>
      </c>
      <c r="AC95" s="245">
        <v>128.6</v>
      </c>
      <c r="AD95" s="245">
        <v>127.9</v>
      </c>
      <c r="AE95" s="245">
        <v>129.80000000000001</v>
      </c>
      <c r="AF95" s="245">
        <v>128.5</v>
      </c>
      <c r="AG95" s="272"/>
      <c r="AH95" s="226">
        <f t="shared" si="14"/>
        <v>136.9</v>
      </c>
      <c r="AI95" s="227">
        <f t="shared" si="16"/>
        <v>120.4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64.900000000000006</v>
      </c>
      <c r="C96" s="276">
        <v>65.400000000000006</v>
      </c>
      <c r="D96" s="276">
        <v>65.400000000000006</v>
      </c>
      <c r="E96" s="276">
        <v>65.400000000000006</v>
      </c>
      <c r="F96" s="276">
        <v>65.599999999999994</v>
      </c>
      <c r="G96" s="276">
        <v>64.8</v>
      </c>
      <c r="H96" s="276">
        <v>64.900000000000006</v>
      </c>
      <c r="I96" s="276">
        <v>64.3</v>
      </c>
      <c r="J96" s="276">
        <v>64.3</v>
      </c>
      <c r="K96" s="276">
        <v>64.3</v>
      </c>
      <c r="L96" s="276">
        <v>63.5</v>
      </c>
      <c r="M96" s="276">
        <v>63.8</v>
      </c>
      <c r="N96" s="276">
        <v>64</v>
      </c>
      <c r="O96" s="276">
        <v>62.8</v>
      </c>
      <c r="P96" s="276">
        <v>63.1</v>
      </c>
      <c r="Q96" s="276">
        <v>63.1</v>
      </c>
      <c r="R96" s="276">
        <v>63.4</v>
      </c>
      <c r="S96" s="276">
        <v>63.6</v>
      </c>
      <c r="T96" s="276">
        <v>63.6</v>
      </c>
      <c r="U96" s="276">
        <v>63.5</v>
      </c>
      <c r="V96" s="276">
        <v>63.5</v>
      </c>
      <c r="W96" s="276">
        <v>63.5</v>
      </c>
      <c r="X96" s="276">
        <v>64</v>
      </c>
      <c r="Y96" s="276">
        <v>63.7</v>
      </c>
      <c r="Z96" s="276">
        <v>63.8</v>
      </c>
      <c r="AA96" s="276">
        <v>63.8</v>
      </c>
      <c r="AB96" s="276">
        <v>64.900000000000006</v>
      </c>
      <c r="AC96" s="276">
        <v>65.099999999999994</v>
      </c>
      <c r="AD96" s="276">
        <v>65</v>
      </c>
      <c r="AE96" s="276">
        <v>65.599999999999994</v>
      </c>
      <c r="AF96" s="276">
        <v>65.599999999999994</v>
      </c>
      <c r="AG96" s="277"/>
      <c r="AH96" s="226">
        <f t="shared" si="14"/>
        <v>65.599999999999994</v>
      </c>
      <c r="AI96" s="227">
        <f t="shared" si="16"/>
        <v>62.8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4"/>
        <v>0</v>
      </c>
      <c r="AI97" s="227">
        <f t="shared" si="16"/>
        <v>0</v>
      </c>
    </row>
    <row r="98" spans="1:37" ht="15.75" thickBot="1" x14ac:dyDescent="0.3">
      <c r="A98" s="279" t="s">
        <v>102</v>
      </c>
      <c r="B98" s="280">
        <f t="shared" ref="B98:AF98" si="23">SUM(B15,B18,B21:B22,B46,B48:B49,B51,B53,B99:B103,B125,B131,B137,B146,B148,B160,B167,B170:B171,B178,B180,B182,B186:B188,B190:B192,B197,B203:B204,B206:B208,B216,B221)</f>
        <v>50.099999999999952</v>
      </c>
      <c r="C98" s="280">
        <f t="shared" si="23"/>
        <v>44.339999999999939</v>
      </c>
      <c r="D98" s="280">
        <f t="shared" si="23"/>
        <v>38.339999999999954</v>
      </c>
      <c r="E98" s="280">
        <f t="shared" si="23"/>
        <v>27.139999999999969</v>
      </c>
      <c r="F98" s="280">
        <f t="shared" si="23"/>
        <v>27.939999999999991</v>
      </c>
      <c r="G98" s="280">
        <f t="shared" si="23"/>
        <v>46.84</v>
      </c>
      <c r="H98" s="280">
        <f t="shared" si="23"/>
        <v>65.34</v>
      </c>
      <c r="I98" s="280">
        <f t="shared" si="23"/>
        <v>99.34</v>
      </c>
      <c r="J98" s="280">
        <f t="shared" si="23"/>
        <v>185.84</v>
      </c>
      <c r="K98" s="280">
        <f t="shared" ref="K98" si="24">SUM(K15,K18,K21:K22,K46,K48:K49,K51,K53,K99:K103,K125,K131,K137,K146,K148,K160,K167,K170:K171,K178,K180,K182,K186:K188,K190:K192,K197,K203:K204,K206:K208,K216,K221)</f>
        <v>185.84</v>
      </c>
      <c r="L98" s="280">
        <f t="shared" si="23"/>
        <v>225.83999999999997</v>
      </c>
      <c r="M98" s="280">
        <f t="shared" si="23"/>
        <v>235.44</v>
      </c>
      <c r="N98" s="280">
        <f>SUM(N15,N18,N21:N22,N46,N48:N49,N51,N53,N99:N103,N125,N131,N137,N146,N148,N160,N167,N170:N171,N178,N180,N182,N186:N188,N190:N192,N197,N203:N204,N206:N208,N216,N221)</f>
        <v>226.44</v>
      </c>
      <c r="O98" s="280">
        <f>SUM(O15,O18,O21:O22,O46,O48:O49,O51,O53,O99:O103,O125,O131,O137,O146,O148,O160,O167,O170:O171,O178,O180,O182,O186:O188,O190:O192,O197,O203:O204,O206:O208,O216,O221)</f>
        <v>236.24</v>
      </c>
      <c r="P98" s="280">
        <f t="shared" si="23"/>
        <v>228.74</v>
      </c>
      <c r="Q98" s="280">
        <f t="shared" si="23"/>
        <v>218.29999999999995</v>
      </c>
      <c r="R98" s="280">
        <f t="shared" si="23"/>
        <v>178</v>
      </c>
      <c r="S98" s="280">
        <f t="shared" si="23"/>
        <v>203.70000000000002</v>
      </c>
      <c r="T98" s="280">
        <f t="shared" si="23"/>
        <v>205.10000000000002</v>
      </c>
      <c r="U98" s="280">
        <f t="shared" si="23"/>
        <v>219.8</v>
      </c>
      <c r="V98" s="280">
        <f t="shared" si="23"/>
        <v>219.8</v>
      </c>
      <c r="W98" s="280">
        <f t="shared" si="23"/>
        <v>226.59999999999997</v>
      </c>
      <c r="X98" s="280">
        <f t="shared" si="23"/>
        <v>231.20000000000005</v>
      </c>
      <c r="Y98" s="280">
        <f t="shared" si="23"/>
        <v>279.70000000000005</v>
      </c>
      <c r="Z98" s="280">
        <f t="shared" si="23"/>
        <v>274.5</v>
      </c>
      <c r="AA98" s="280">
        <f t="shared" si="23"/>
        <v>274.5</v>
      </c>
      <c r="AB98" s="280">
        <f t="shared" si="23"/>
        <v>225.60000000000002</v>
      </c>
      <c r="AC98" s="280">
        <f t="shared" si="23"/>
        <v>208.2</v>
      </c>
      <c r="AD98" s="280">
        <f t="shared" si="23"/>
        <v>172.7</v>
      </c>
      <c r="AE98" s="280">
        <f t="shared" si="23"/>
        <v>90.2</v>
      </c>
      <c r="AF98" s="280">
        <f t="shared" si="23"/>
        <v>53.800000000000018</v>
      </c>
      <c r="AG98" s="281"/>
      <c r="AH98" s="226">
        <f>MAX(C98:AF98)</f>
        <v>279.70000000000005</v>
      </c>
      <c r="AI98" s="227">
        <f>MIN(C98:AF98)</f>
        <v>27.139999999999969</v>
      </c>
    </row>
    <row r="99" spans="1:37" x14ac:dyDescent="0.25">
      <c r="A99" s="268" t="s">
        <v>103</v>
      </c>
      <c r="B99" s="282">
        <v>5.0999999999999996</v>
      </c>
      <c r="C99" s="282">
        <v>4.2</v>
      </c>
      <c r="D99" s="282">
        <v>9</v>
      </c>
      <c r="E99" s="282">
        <v>5.2</v>
      </c>
      <c r="F99" s="282">
        <v>1.4</v>
      </c>
      <c r="G99" s="282">
        <v>-3.7</v>
      </c>
      <c r="H99" s="282">
        <v>-2.9</v>
      </c>
      <c r="I99" s="282">
        <v>0</v>
      </c>
      <c r="J99" s="282">
        <v>-3.8</v>
      </c>
      <c r="K99" s="282">
        <v>-3.8</v>
      </c>
      <c r="L99" s="282">
        <v>10.1</v>
      </c>
      <c r="M99" s="282">
        <v>11.6</v>
      </c>
      <c r="N99" s="282">
        <v>1.6</v>
      </c>
      <c r="O99" s="282">
        <v>12</v>
      </c>
      <c r="P99" s="282">
        <v>29.6</v>
      </c>
      <c r="Q99" s="282">
        <v>29.1</v>
      </c>
      <c r="R99" s="282">
        <v>24.3</v>
      </c>
      <c r="S99" s="282">
        <v>26.1</v>
      </c>
      <c r="T99" s="282">
        <v>25.4</v>
      </c>
      <c r="U99" s="282">
        <v>22.8</v>
      </c>
      <c r="V99" s="282">
        <v>22.8</v>
      </c>
      <c r="W99" s="282">
        <v>33</v>
      </c>
      <c r="X99" s="282">
        <v>34.9</v>
      </c>
      <c r="Y99" s="282">
        <v>30.3</v>
      </c>
      <c r="Z99" s="282">
        <v>25.8</v>
      </c>
      <c r="AA99" s="282">
        <v>25.8</v>
      </c>
      <c r="AB99" s="282">
        <v>21.8</v>
      </c>
      <c r="AC99" s="282">
        <v>22</v>
      </c>
      <c r="AD99" s="282">
        <v>22.2</v>
      </c>
      <c r="AE99" s="282">
        <v>16.899999999999999</v>
      </c>
      <c r="AF99" s="282">
        <v>8.9</v>
      </c>
      <c r="AG99" s="283">
        <v>75</v>
      </c>
      <c r="AH99" s="226">
        <f t="shared" ref="AH99:AH107" si="25">IF(ABS(MAX(C99:AF99))&gt;ABS(MIN(C99:AF99)),MAX(C99:AF99),MIN(C99:AF99))</f>
        <v>34.9</v>
      </c>
      <c r="AI99" s="284">
        <f t="shared" ref="AI99:AI107" si="26">INDEX($C$9:$AF$9,1,MATCH(AH99,C99:AF99,0))</f>
        <v>0.75</v>
      </c>
    </row>
    <row r="100" spans="1:37" x14ac:dyDescent="0.25">
      <c r="A100" s="271" t="s">
        <v>269</v>
      </c>
      <c r="B100" s="285">
        <v>20.100000000000001</v>
      </c>
      <c r="C100" s="285">
        <v>19.600000000000001</v>
      </c>
      <c r="D100" s="285">
        <v>26.6</v>
      </c>
      <c r="E100" s="285">
        <v>18.899999999999999</v>
      </c>
      <c r="F100" s="285">
        <v>14.2</v>
      </c>
      <c r="G100" s="285">
        <v>8.1999999999999993</v>
      </c>
      <c r="H100" s="285">
        <v>6.3</v>
      </c>
      <c r="I100" s="285">
        <v>9.4</v>
      </c>
      <c r="J100" s="285">
        <v>7.3</v>
      </c>
      <c r="K100" s="285">
        <v>7.3</v>
      </c>
      <c r="L100" s="285">
        <v>24.5</v>
      </c>
      <c r="M100" s="285">
        <v>24.5</v>
      </c>
      <c r="N100" s="285">
        <v>11.7</v>
      </c>
      <c r="O100" s="285">
        <v>23.8</v>
      </c>
      <c r="P100" s="285">
        <v>46.6</v>
      </c>
      <c r="Q100" s="285">
        <v>44.9</v>
      </c>
      <c r="R100" s="285">
        <v>35.799999999999997</v>
      </c>
      <c r="S100" s="285">
        <v>40.200000000000003</v>
      </c>
      <c r="T100" s="285">
        <v>25</v>
      </c>
      <c r="U100" s="285">
        <v>37.200000000000003</v>
      </c>
      <c r="V100" s="285">
        <v>37.200000000000003</v>
      </c>
      <c r="W100" s="285">
        <v>53.9</v>
      </c>
      <c r="X100" s="285">
        <v>56.4</v>
      </c>
      <c r="Y100" s="285">
        <v>45.6</v>
      </c>
      <c r="Z100" s="285">
        <v>39.299999999999997</v>
      </c>
      <c r="AA100" s="285">
        <v>39.299999999999997</v>
      </c>
      <c r="AB100" s="285">
        <v>35.9</v>
      </c>
      <c r="AC100" s="285">
        <v>36.6</v>
      </c>
      <c r="AD100" s="285">
        <v>37.799999999999997</v>
      </c>
      <c r="AE100" s="285">
        <v>30.4</v>
      </c>
      <c r="AF100" s="285">
        <v>23.6</v>
      </c>
      <c r="AG100" s="283">
        <v>240</v>
      </c>
      <c r="AH100" s="226">
        <f t="shared" si="25"/>
        <v>56.4</v>
      </c>
      <c r="AI100" s="284">
        <f t="shared" si="26"/>
        <v>0.75</v>
      </c>
    </row>
    <row r="101" spans="1:37" x14ac:dyDescent="0.25">
      <c r="A101" s="271" t="s">
        <v>104</v>
      </c>
      <c r="B101" s="285">
        <v>-140</v>
      </c>
      <c r="C101" s="285">
        <v>-146</v>
      </c>
      <c r="D101" s="285">
        <v>-162</v>
      </c>
      <c r="E101" s="285">
        <f>-67.4-71.4</f>
        <v>-138.80000000000001</v>
      </c>
      <c r="F101" s="285">
        <f>-61.9-65.3</f>
        <v>-127.19999999999999</v>
      </c>
      <c r="G101" s="285">
        <f>-56-59.8</f>
        <v>-115.8</v>
      </c>
      <c r="H101" s="285">
        <f>-47-50.7</f>
        <v>-97.7</v>
      </c>
      <c r="I101" s="285">
        <f>-36.2-39.8</f>
        <v>-76</v>
      </c>
      <c r="J101" s="285">
        <f>-43.1-48</f>
        <v>-91.1</v>
      </c>
      <c r="K101" s="285">
        <f>-43.1-48</f>
        <v>-91.1</v>
      </c>
      <c r="L101" s="285">
        <f>-41-45.4</f>
        <v>-86.4</v>
      </c>
      <c r="M101" s="285">
        <f>-37.4-41.7</f>
        <v>-79.099999999999994</v>
      </c>
      <c r="N101" s="285">
        <f>-34-38.2</f>
        <v>-72.2</v>
      </c>
      <c r="O101" s="285">
        <f>-36-39.3</f>
        <v>-75.3</v>
      </c>
      <c r="P101" s="285">
        <f>-57-60.8</f>
        <v>-117.8</v>
      </c>
      <c r="Q101" s="285">
        <f>-60.2-64.4</f>
        <v>-124.60000000000001</v>
      </c>
      <c r="R101" s="285">
        <v>-73</v>
      </c>
      <c r="S101" s="285">
        <v>-65</v>
      </c>
      <c r="T101" s="285">
        <v>-106</v>
      </c>
      <c r="U101" s="285">
        <v>-105</v>
      </c>
      <c r="V101" s="285">
        <v>-105</v>
      </c>
      <c r="W101" s="285">
        <v>-103</v>
      </c>
      <c r="X101" s="285">
        <v>-99</v>
      </c>
      <c r="Y101" s="285">
        <v>-72</v>
      </c>
      <c r="Z101" s="285">
        <v>-60</v>
      </c>
      <c r="AA101" s="285">
        <v>-60</v>
      </c>
      <c r="AB101" s="285">
        <f>-46-49</f>
        <v>-95</v>
      </c>
      <c r="AC101" s="285">
        <f>-48.3-51.8</f>
        <v>-100.1</v>
      </c>
      <c r="AD101" s="285">
        <f>-57-60.4</f>
        <v>-117.4</v>
      </c>
      <c r="AE101" s="285">
        <f>-64-68.8</f>
        <v>-132.80000000000001</v>
      </c>
      <c r="AF101" s="285">
        <f>-68.6-72.1</f>
        <v>-140.69999999999999</v>
      </c>
      <c r="AG101" s="283">
        <v>240</v>
      </c>
      <c r="AH101" s="226">
        <f t="shared" si="25"/>
        <v>-162</v>
      </c>
      <c r="AI101" s="284">
        <f t="shared" si="26"/>
        <v>8.3333333333333301E-2</v>
      </c>
    </row>
    <row r="102" spans="1:37" x14ac:dyDescent="0.25">
      <c r="A102" s="271" t="s">
        <v>105</v>
      </c>
      <c r="B102" s="285">
        <v>-9.3000000000000007</v>
      </c>
      <c r="C102" s="285">
        <v>-8.6</v>
      </c>
      <c r="D102" s="285">
        <v>-10.4</v>
      </c>
      <c r="E102" s="285">
        <v>-7.9</v>
      </c>
      <c r="F102" s="285">
        <v>-7.2</v>
      </c>
      <c r="G102" s="285">
        <v>-3.7</v>
      </c>
      <c r="H102" s="285">
        <v>-2.2999999999999998</v>
      </c>
      <c r="I102" s="285">
        <v>4.9000000000000004</v>
      </c>
      <c r="J102" s="285">
        <v>15.2</v>
      </c>
      <c r="K102" s="285">
        <v>15.2</v>
      </c>
      <c r="L102" s="285">
        <v>18.8</v>
      </c>
      <c r="M102" s="285">
        <v>11.4</v>
      </c>
      <c r="N102" s="285">
        <v>17.600000000000001</v>
      </c>
      <c r="O102" s="285">
        <v>7.7</v>
      </c>
      <c r="P102" s="285">
        <v>2.2999999999999998</v>
      </c>
      <c r="Q102" s="285">
        <v>1.8</v>
      </c>
      <c r="R102" s="285">
        <v>7</v>
      </c>
      <c r="S102" s="285">
        <v>8.1</v>
      </c>
      <c r="T102" s="285">
        <v>4.4000000000000004</v>
      </c>
      <c r="U102" s="285">
        <v>4.3</v>
      </c>
      <c r="V102" s="285">
        <v>4.3</v>
      </c>
      <c r="W102" s="285">
        <v>3.2</v>
      </c>
      <c r="X102" s="285">
        <v>6.3</v>
      </c>
      <c r="Y102" s="285">
        <v>8</v>
      </c>
      <c r="Z102" s="285">
        <v>11.9</v>
      </c>
      <c r="AA102" s="285">
        <v>11.9</v>
      </c>
      <c r="AB102" s="285">
        <v>5.5</v>
      </c>
      <c r="AC102" s="285">
        <v>4.0999999999999996</v>
      </c>
      <c r="AD102" s="285">
        <v>1.4</v>
      </c>
      <c r="AE102" s="285">
        <v>-3.2</v>
      </c>
      <c r="AF102" s="285">
        <v>-1.9</v>
      </c>
      <c r="AG102" s="283">
        <v>60</v>
      </c>
      <c r="AH102" s="226">
        <f t="shared" si="25"/>
        <v>18.8</v>
      </c>
      <c r="AI102" s="284">
        <f t="shared" si="26"/>
        <v>0.3125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>
        <v>0</v>
      </c>
      <c r="F103" s="287">
        <v>0</v>
      </c>
      <c r="G103" s="287">
        <v>0</v>
      </c>
      <c r="H103" s="287">
        <v>0</v>
      </c>
      <c r="I103" s="287">
        <v>0</v>
      </c>
      <c r="J103" s="287">
        <v>63.8</v>
      </c>
      <c r="K103" s="287">
        <v>63.8</v>
      </c>
      <c r="L103" s="287">
        <v>63.3</v>
      </c>
      <c r="M103" s="287">
        <v>63.6</v>
      </c>
      <c r="N103" s="287">
        <v>63.4</v>
      </c>
      <c r="O103" s="287">
        <v>63.7</v>
      </c>
      <c r="P103" s="287">
        <v>63.7</v>
      </c>
      <c r="Q103" s="287">
        <v>63.7</v>
      </c>
      <c r="R103" s="287">
        <v>0</v>
      </c>
      <c r="S103" s="287">
        <v>0</v>
      </c>
      <c r="T103" s="287">
        <v>52</v>
      </c>
      <c r="U103" s="287">
        <v>56.2</v>
      </c>
      <c r="V103" s="287">
        <v>56.2</v>
      </c>
      <c r="W103" s="287">
        <v>35.200000000000003</v>
      </c>
      <c r="X103" s="287">
        <v>33.299999999999997</v>
      </c>
      <c r="Y103" s="287">
        <v>73.5</v>
      </c>
      <c r="Z103" s="287">
        <v>63.6</v>
      </c>
      <c r="AA103" s="287">
        <v>63.6</v>
      </c>
      <c r="AB103" s="287">
        <v>63.5</v>
      </c>
      <c r="AC103" s="287">
        <v>51.7</v>
      </c>
      <c r="AD103" s="287">
        <v>34.799999999999997</v>
      </c>
      <c r="AE103" s="287">
        <v>0</v>
      </c>
      <c r="AF103" s="287">
        <v>0</v>
      </c>
      <c r="AG103" s="288">
        <v>120</v>
      </c>
      <c r="AH103" s="226">
        <f t="shared" si="25"/>
        <v>73.5</v>
      </c>
      <c r="AI103" s="284">
        <f t="shared" si="26"/>
        <v>0.77083333333333337</v>
      </c>
    </row>
    <row r="104" spans="1:37" x14ac:dyDescent="0.25">
      <c r="A104" s="286" t="s">
        <v>107</v>
      </c>
      <c r="B104" s="287">
        <v>46.7</v>
      </c>
      <c r="C104" s="287">
        <v>39.299999999999997</v>
      </c>
      <c r="D104" s="287">
        <v>23.8</v>
      </c>
      <c r="E104" s="287">
        <v>39.299999999999997</v>
      </c>
      <c r="F104" s="287">
        <v>46.2</v>
      </c>
      <c r="G104" s="287">
        <v>58.1</v>
      </c>
      <c r="H104" s="287">
        <v>62.5</v>
      </c>
      <c r="I104" s="287">
        <v>77.2</v>
      </c>
      <c r="J104" s="287">
        <v>61.8</v>
      </c>
      <c r="K104" s="287">
        <v>61.8</v>
      </c>
      <c r="L104" s="287">
        <v>71.2</v>
      </c>
      <c r="M104" s="287">
        <v>70.8</v>
      </c>
      <c r="N104" s="287">
        <v>73.2</v>
      </c>
      <c r="O104" s="287">
        <v>84.2</v>
      </c>
      <c r="P104" s="287">
        <v>40.299999999999997</v>
      </c>
      <c r="Q104" s="287">
        <v>36.5</v>
      </c>
      <c r="R104" s="287">
        <v>80</v>
      </c>
      <c r="S104" s="287">
        <v>89.7</v>
      </c>
      <c r="T104" s="287">
        <v>58.3</v>
      </c>
      <c r="U104" s="287">
        <v>60.8</v>
      </c>
      <c r="V104" s="287">
        <v>60.8</v>
      </c>
      <c r="W104" s="287">
        <v>35.299999999999997</v>
      </c>
      <c r="X104" s="287">
        <v>30.4</v>
      </c>
      <c r="Y104" s="287">
        <v>68.2</v>
      </c>
      <c r="Z104" s="287">
        <v>82.2</v>
      </c>
      <c r="AA104" s="287">
        <v>82.2</v>
      </c>
      <c r="AB104" s="287">
        <v>59.8</v>
      </c>
      <c r="AC104" s="287">
        <v>53.7</v>
      </c>
      <c r="AD104" s="287">
        <v>41.3</v>
      </c>
      <c r="AE104" s="287">
        <v>30.5</v>
      </c>
      <c r="AF104" s="287">
        <v>33.6</v>
      </c>
      <c r="AG104" s="288"/>
      <c r="AH104" s="226">
        <f t="shared" si="25"/>
        <v>89.7</v>
      </c>
      <c r="AI104" s="284">
        <f t="shared" si="26"/>
        <v>0.58333333333333304</v>
      </c>
    </row>
    <row r="105" spans="1:37" x14ac:dyDescent="0.25">
      <c r="A105" s="286" t="s">
        <v>108</v>
      </c>
      <c r="B105" s="287">
        <v>77.8</v>
      </c>
      <c r="C105" s="287">
        <v>77.900000000000006</v>
      </c>
      <c r="D105" s="287">
        <v>54.4</v>
      </c>
      <c r="E105" s="287">
        <v>55.2</v>
      </c>
      <c r="F105" s="287">
        <v>65.900000000000006</v>
      </c>
      <c r="G105" s="287">
        <v>38.299999999999997</v>
      </c>
      <c r="H105" s="287">
        <v>50.9</v>
      </c>
      <c r="I105" s="287">
        <v>42.3</v>
      </c>
      <c r="J105" s="287">
        <v>71</v>
      </c>
      <c r="K105" s="287">
        <v>71</v>
      </c>
      <c r="L105" s="287">
        <v>20.5</v>
      </c>
      <c r="M105" s="287">
        <v>21.7</v>
      </c>
      <c r="N105" s="287">
        <v>67.599999999999994</v>
      </c>
      <c r="O105" s="287">
        <v>54.1</v>
      </c>
      <c r="P105" s="287">
        <v>41.2</v>
      </c>
      <c r="Q105" s="287">
        <v>19.399999999999999</v>
      </c>
      <c r="R105" s="287">
        <v>50</v>
      </c>
      <c r="S105" s="287">
        <v>52.3</v>
      </c>
      <c r="T105" s="287">
        <v>57</v>
      </c>
      <c r="U105" s="287">
        <v>50.9</v>
      </c>
      <c r="V105" s="287">
        <v>50.9</v>
      </c>
      <c r="W105" s="287">
        <v>45</v>
      </c>
      <c r="X105" s="287">
        <v>10</v>
      </c>
      <c r="Y105" s="287">
        <v>37.1</v>
      </c>
      <c r="Z105" s="287">
        <v>52.5</v>
      </c>
      <c r="AA105" s="287">
        <v>52.5</v>
      </c>
      <c r="AB105" s="287">
        <v>71.5</v>
      </c>
      <c r="AC105" s="287">
        <v>65.599999999999994</v>
      </c>
      <c r="AD105" s="287">
        <v>60.1</v>
      </c>
      <c r="AE105" s="287">
        <v>52.6</v>
      </c>
      <c r="AF105" s="287">
        <v>61.3</v>
      </c>
      <c r="AG105" s="289"/>
      <c r="AH105" s="226">
        <f t="shared" si="25"/>
        <v>77.900000000000006</v>
      </c>
      <c r="AI105" s="284">
        <f t="shared" si="26"/>
        <v>4.1666666666666664E-2</v>
      </c>
    </row>
    <row r="106" spans="1:37" x14ac:dyDescent="0.25">
      <c r="A106" s="290" t="s">
        <v>109</v>
      </c>
      <c r="B106" s="274">
        <v>121.1</v>
      </c>
      <c r="C106" s="274">
        <v>124.1</v>
      </c>
      <c r="D106" s="274">
        <v>122.5</v>
      </c>
      <c r="E106" s="274">
        <v>123.8</v>
      </c>
      <c r="F106" s="274">
        <v>124.9</v>
      </c>
      <c r="G106" s="274">
        <v>125.2</v>
      </c>
      <c r="H106" s="274">
        <v>112.6</v>
      </c>
      <c r="I106" s="274">
        <v>124.8</v>
      </c>
      <c r="J106" s="274">
        <v>121.6</v>
      </c>
      <c r="K106" s="274">
        <v>121.6</v>
      </c>
      <c r="L106" s="274">
        <v>116.3</v>
      </c>
      <c r="M106" s="274">
        <v>121.9</v>
      </c>
      <c r="N106" s="274">
        <v>119.1</v>
      </c>
      <c r="O106" s="274">
        <v>117</v>
      </c>
      <c r="P106" s="274">
        <v>118.6</v>
      </c>
      <c r="Q106" s="274">
        <v>117.2</v>
      </c>
      <c r="R106" s="274">
        <v>120</v>
      </c>
      <c r="S106" s="274">
        <v>109.7</v>
      </c>
      <c r="T106" s="274">
        <v>113</v>
      </c>
      <c r="U106" s="274">
        <v>109.2</v>
      </c>
      <c r="V106" s="274">
        <v>109.2</v>
      </c>
      <c r="W106" s="274">
        <v>104</v>
      </c>
      <c r="X106" s="274">
        <v>102.3</v>
      </c>
      <c r="Y106" s="274">
        <v>77.7</v>
      </c>
      <c r="Z106" s="274">
        <v>94.5</v>
      </c>
      <c r="AA106" s="274">
        <v>94.5</v>
      </c>
      <c r="AB106" s="274">
        <v>115.6</v>
      </c>
      <c r="AC106" s="274">
        <v>117.2</v>
      </c>
      <c r="AD106" s="274">
        <v>119</v>
      </c>
      <c r="AE106" s="274">
        <v>120.3</v>
      </c>
      <c r="AF106" s="274">
        <v>120</v>
      </c>
      <c r="AG106" s="289"/>
      <c r="AH106" s="226">
        <f t="shared" si="25"/>
        <v>125.2</v>
      </c>
      <c r="AI106" s="284">
        <f t="shared" si="26"/>
        <v>0.20833333333333301</v>
      </c>
    </row>
    <row r="107" spans="1:37" ht="15.75" thickBot="1" x14ac:dyDescent="0.3">
      <c r="A107" s="290" t="s">
        <v>110</v>
      </c>
      <c r="B107" s="274">
        <v>86.1</v>
      </c>
      <c r="C107" s="274">
        <v>90.1</v>
      </c>
      <c r="D107" s="274">
        <v>102.9</v>
      </c>
      <c r="E107" s="274">
        <v>88.2</v>
      </c>
      <c r="F107" s="274">
        <v>76</v>
      </c>
      <c r="G107" s="274">
        <v>65.599999999999994</v>
      </c>
      <c r="H107" s="274">
        <v>54.3</v>
      </c>
      <c r="I107" s="274">
        <v>39.1</v>
      </c>
      <c r="J107" s="274">
        <v>60.1</v>
      </c>
      <c r="K107" s="274">
        <v>60.1</v>
      </c>
      <c r="L107" s="274">
        <v>85.9</v>
      </c>
      <c r="M107" s="274">
        <v>48</v>
      </c>
      <c r="N107" s="274">
        <v>40.6</v>
      </c>
      <c r="O107" s="274">
        <v>38.299999999999997</v>
      </c>
      <c r="P107" s="274">
        <v>77.099999999999994</v>
      </c>
      <c r="Q107" s="274">
        <v>83.5</v>
      </c>
      <c r="R107" s="274">
        <v>50</v>
      </c>
      <c r="S107" s="274">
        <v>41.8</v>
      </c>
      <c r="T107" s="274">
        <v>52</v>
      </c>
      <c r="U107" s="274">
        <v>65</v>
      </c>
      <c r="V107" s="274">
        <v>65</v>
      </c>
      <c r="W107" s="274">
        <v>60</v>
      </c>
      <c r="X107" s="274">
        <v>68.7</v>
      </c>
      <c r="Y107" s="274">
        <v>45.6</v>
      </c>
      <c r="Z107" s="274">
        <v>34</v>
      </c>
      <c r="AA107" s="274">
        <v>34</v>
      </c>
      <c r="AB107" s="274">
        <v>55.6</v>
      </c>
      <c r="AC107" s="274">
        <v>58.2</v>
      </c>
      <c r="AD107" s="274">
        <v>67</v>
      </c>
      <c r="AE107" s="274">
        <v>84.6</v>
      </c>
      <c r="AF107" s="274">
        <v>90</v>
      </c>
      <c r="AG107" s="289"/>
      <c r="AH107" s="226">
        <f t="shared" si="25"/>
        <v>102.9</v>
      </c>
      <c r="AI107" s="284">
        <f t="shared" si="26"/>
        <v>8.3333333333333301E-2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27">SUM(C109:C213)</f>
        <v>0</v>
      </c>
      <c r="D214" s="307">
        <f t="shared" si="27"/>
        <v>0</v>
      </c>
      <c r="E214" s="307">
        <f t="shared" si="27"/>
        <v>0</v>
      </c>
      <c r="F214" s="307">
        <f t="shared" si="27"/>
        <v>0</v>
      </c>
      <c r="G214" s="307">
        <f t="shared" si="27"/>
        <v>0</v>
      </c>
      <c r="H214" s="307">
        <f t="shared" si="27"/>
        <v>0</v>
      </c>
      <c r="I214" s="307">
        <f t="shared" si="27"/>
        <v>0</v>
      </c>
      <c r="J214" s="307">
        <f t="shared" si="27"/>
        <v>0</v>
      </c>
      <c r="K214" s="307">
        <f t="shared" si="27"/>
        <v>0</v>
      </c>
      <c r="L214" s="307">
        <f t="shared" si="27"/>
        <v>0</v>
      </c>
      <c r="M214" s="307">
        <f t="shared" si="27"/>
        <v>0</v>
      </c>
      <c r="N214" s="307">
        <f t="shared" si="27"/>
        <v>0</v>
      </c>
      <c r="O214" s="307">
        <f t="shared" si="27"/>
        <v>0</v>
      </c>
      <c r="P214" s="307">
        <f t="shared" si="27"/>
        <v>0</v>
      </c>
      <c r="Q214" s="307">
        <f t="shared" si="27"/>
        <v>0</v>
      </c>
      <c r="R214" s="307">
        <f t="shared" si="27"/>
        <v>0</v>
      </c>
      <c r="S214" s="307">
        <f t="shared" si="27"/>
        <v>0</v>
      </c>
      <c r="T214" s="307">
        <f t="shared" si="27"/>
        <v>0</v>
      </c>
      <c r="U214" s="307">
        <f t="shared" si="27"/>
        <v>0</v>
      </c>
      <c r="V214" s="307">
        <f t="shared" si="27"/>
        <v>0</v>
      </c>
      <c r="W214" s="307">
        <f t="shared" si="27"/>
        <v>0</v>
      </c>
      <c r="X214" s="307">
        <f t="shared" si="27"/>
        <v>0</v>
      </c>
      <c r="Y214" s="307">
        <f t="shared" si="27"/>
        <v>0</v>
      </c>
      <c r="Z214" s="307">
        <f t="shared" si="27"/>
        <v>0</v>
      </c>
      <c r="AA214" s="307">
        <f t="shared" si="27"/>
        <v>0</v>
      </c>
      <c r="AB214" s="307">
        <f t="shared" si="27"/>
        <v>0</v>
      </c>
      <c r="AC214" s="307">
        <f t="shared" si="27"/>
        <v>0</v>
      </c>
      <c r="AD214" s="307">
        <f t="shared" si="27"/>
        <v>0</v>
      </c>
      <c r="AE214" s="307">
        <f t="shared" si="27"/>
        <v>0</v>
      </c>
      <c r="AF214" s="308">
        <f t="shared" si="27"/>
        <v>0</v>
      </c>
      <c r="AG214" s="309">
        <f t="shared" si="27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28">AF216</f>
        <v>0</v>
      </c>
      <c r="C216" s="312">
        <v>0.3</v>
      </c>
      <c r="D216" s="312">
        <f t="shared" ref="D216:P221" si="29">C216</f>
        <v>0.3</v>
      </c>
      <c r="E216" s="312">
        <f t="shared" si="29"/>
        <v>0.3</v>
      </c>
      <c r="F216" s="312">
        <f t="shared" si="29"/>
        <v>0.3</v>
      </c>
      <c r="G216" s="312">
        <f t="shared" si="29"/>
        <v>0.3</v>
      </c>
      <c r="H216" s="312">
        <f t="shared" si="29"/>
        <v>0.3</v>
      </c>
      <c r="I216" s="312">
        <f t="shared" si="29"/>
        <v>0.3</v>
      </c>
      <c r="J216" s="312">
        <f t="shared" si="29"/>
        <v>0.3</v>
      </c>
      <c r="K216" s="312">
        <f t="shared" si="29"/>
        <v>0.3</v>
      </c>
      <c r="L216" s="312">
        <f t="shared" si="29"/>
        <v>0.3</v>
      </c>
      <c r="M216" s="312">
        <f t="shared" si="29"/>
        <v>0.3</v>
      </c>
      <c r="N216" s="312">
        <f t="shared" si="29"/>
        <v>0.3</v>
      </c>
      <c r="O216" s="312">
        <f t="shared" si="29"/>
        <v>0.3</v>
      </c>
      <c r="P216" s="312">
        <f t="shared" si="29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28"/>
        <v>0</v>
      </c>
      <c r="C217" s="299">
        <v>0.4</v>
      </c>
      <c r="D217" s="299">
        <f t="shared" si="29"/>
        <v>0.4</v>
      </c>
      <c r="E217" s="299">
        <f t="shared" si="29"/>
        <v>0.4</v>
      </c>
      <c r="F217" s="299">
        <f t="shared" si="29"/>
        <v>0.4</v>
      </c>
      <c r="G217" s="299">
        <f t="shared" si="29"/>
        <v>0.4</v>
      </c>
      <c r="H217" s="299">
        <f t="shared" si="29"/>
        <v>0.4</v>
      </c>
      <c r="I217" s="299">
        <f t="shared" si="29"/>
        <v>0.4</v>
      </c>
      <c r="J217" s="299">
        <f t="shared" si="29"/>
        <v>0.4</v>
      </c>
      <c r="K217" s="299">
        <f t="shared" si="29"/>
        <v>0.4</v>
      </c>
      <c r="L217" s="299">
        <f t="shared" si="29"/>
        <v>0.4</v>
      </c>
      <c r="M217" s="299">
        <f t="shared" si="29"/>
        <v>0.4</v>
      </c>
      <c r="N217" s="299">
        <f t="shared" si="29"/>
        <v>0.4</v>
      </c>
      <c r="O217" s="299">
        <f t="shared" si="29"/>
        <v>0.4</v>
      </c>
      <c r="P217" s="299">
        <f t="shared" si="29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28"/>
        <v>0</v>
      </c>
      <c r="C218" s="299">
        <v>1.5</v>
      </c>
      <c r="D218" s="299">
        <f t="shared" si="29"/>
        <v>1.5</v>
      </c>
      <c r="E218" s="299">
        <f t="shared" si="29"/>
        <v>1.5</v>
      </c>
      <c r="F218" s="299">
        <f t="shared" si="29"/>
        <v>1.5</v>
      </c>
      <c r="G218" s="299">
        <f t="shared" si="29"/>
        <v>1.5</v>
      </c>
      <c r="H218" s="299">
        <f t="shared" si="29"/>
        <v>1.5</v>
      </c>
      <c r="I218" s="299">
        <f t="shared" si="29"/>
        <v>1.5</v>
      </c>
      <c r="J218" s="299">
        <f t="shared" si="29"/>
        <v>1.5</v>
      </c>
      <c r="K218" s="299">
        <f t="shared" si="29"/>
        <v>1.5</v>
      </c>
      <c r="L218" s="299">
        <f t="shared" si="29"/>
        <v>1.5</v>
      </c>
      <c r="M218" s="299">
        <f t="shared" si="29"/>
        <v>1.5</v>
      </c>
      <c r="N218" s="299">
        <f t="shared" si="29"/>
        <v>1.5</v>
      </c>
      <c r="O218" s="299">
        <f t="shared" si="29"/>
        <v>1.5</v>
      </c>
      <c r="P218" s="299">
        <f t="shared" si="29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28"/>
        <v>0</v>
      </c>
      <c r="C219" s="299">
        <v>0.3</v>
      </c>
      <c r="D219" s="299">
        <f t="shared" si="29"/>
        <v>0.3</v>
      </c>
      <c r="E219" s="299">
        <f t="shared" si="29"/>
        <v>0.3</v>
      </c>
      <c r="F219" s="299">
        <f t="shared" si="29"/>
        <v>0.3</v>
      </c>
      <c r="G219" s="299">
        <f t="shared" si="29"/>
        <v>0.3</v>
      </c>
      <c r="H219" s="299">
        <f t="shared" si="29"/>
        <v>0.3</v>
      </c>
      <c r="I219" s="299">
        <f t="shared" si="29"/>
        <v>0.3</v>
      </c>
      <c r="J219" s="299">
        <f t="shared" si="29"/>
        <v>0.3</v>
      </c>
      <c r="K219" s="299">
        <f t="shared" si="29"/>
        <v>0.3</v>
      </c>
      <c r="L219" s="299">
        <f t="shared" si="29"/>
        <v>0.3</v>
      </c>
      <c r="M219" s="299">
        <f t="shared" si="29"/>
        <v>0.3</v>
      </c>
      <c r="N219" s="299">
        <f t="shared" si="29"/>
        <v>0.3</v>
      </c>
      <c r="O219" s="299">
        <f t="shared" si="29"/>
        <v>0.3</v>
      </c>
      <c r="P219" s="299">
        <f t="shared" si="29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28"/>
        <v>0</v>
      </c>
      <c r="C220" s="299">
        <v>0.4</v>
      </c>
      <c r="D220" s="299">
        <f t="shared" si="29"/>
        <v>0.4</v>
      </c>
      <c r="E220" s="299">
        <f t="shared" si="29"/>
        <v>0.4</v>
      </c>
      <c r="F220" s="299">
        <f t="shared" si="29"/>
        <v>0.4</v>
      </c>
      <c r="G220" s="299">
        <f t="shared" si="29"/>
        <v>0.4</v>
      </c>
      <c r="H220" s="299">
        <f t="shared" si="29"/>
        <v>0.4</v>
      </c>
      <c r="I220" s="299">
        <f t="shared" si="29"/>
        <v>0.4</v>
      </c>
      <c r="J220" s="299">
        <f t="shared" si="29"/>
        <v>0.4</v>
      </c>
      <c r="K220" s="299">
        <f t="shared" si="29"/>
        <v>0.4</v>
      </c>
      <c r="L220" s="299">
        <f t="shared" si="29"/>
        <v>0.4</v>
      </c>
      <c r="M220" s="299">
        <f t="shared" si="29"/>
        <v>0.4</v>
      </c>
      <c r="N220" s="299">
        <f t="shared" si="29"/>
        <v>0.4</v>
      </c>
      <c r="O220" s="299">
        <f t="shared" si="29"/>
        <v>0.4</v>
      </c>
      <c r="P220" s="299">
        <f t="shared" si="29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28"/>
        <v>0</v>
      </c>
      <c r="C221" s="303">
        <v>0.64</v>
      </c>
      <c r="D221" s="303">
        <f t="shared" si="29"/>
        <v>0.64</v>
      </c>
      <c r="E221" s="303">
        <f t="shared" si="29"/>
        <v>0.64</v>
      </c>
      <c r="F221" s="303">
        <f t="shared" si="29"/>
        <v>0.64</v>
      </c>
      <c r="G221" s="303">
        <f t="shared" si="29"/>
        <v>0.64</v>
      </c>
      <c r="H221" s="303">
        <f t="shared" si="29"/>
        <v>0.64</v>
      </c>
      <c r="I221" s="303">
        <f t="shared" si="29"/>
        <v>0.64</v>
      </c>
      <c r="J221" s="303">
        <f t="shared" si="29"/>
        <v>0.64</v>
      </c>
      <c r="K221" s="303">
        <f t="shared" si="29"/>
        <v>0.64</v>
      </c>
      <c r="L221" s="303">
        <f t="shared" si="29"/>
        <v>0.64</v>
      </c>
      <c r="M221" s="303">
        <f t="shared" si="29"/>
        <v>0.64</v>
      </c>
      <c r="N221" s="303">
        <f t="shared" si="29"/>
        <v>0.64</v>
      </c>
      <c r="O221" s="303">
        <f t="shared" si="29"/>
        <v>0.64</v>
      </c>
      <c r="P221" s="303">
        <f t="shared" si="29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30">SUM(D216:D221)</f>
        <v>3.54</v>
      </c>
      <c r="E222" s="307">
        <f t="shared" si="30"/>
        <v>3.54</v>
      </c>
      <c r="F222" s="307">
        <f t="shared" si="30"/>
        <v>3.54</v>
      </c>
      <c r="G222" s="307">
        <f t="shared" si="30"/>
        <v>3.54</v>
      </c>
      <c r="H222" s="307">
        <f t="shared" si="30"/>
        <v>3.54</v>
      </c>
      <c r="I222" s="307">
        <f t="shared" si="30"/>
        <v>3.54</v>
      </c>
      <c r="J222" s="307">
        <f t="shared" si="30"/>
        <v>3.54</v>
      </c>
      <c r="K222" s="307">
        <f t="shared" si="30"/>
        <v>3.54</v>
      </c>
      <c r="L222" s="307">
        <f t="shared" si="30"/>
        <v>3.54</v>
      </c>
      <c r="M222" s="307">
        <f>SUM(M216:M221)</f>
        <v>3.54</v>
      </c>
      <c r="N222" s="307">
        <f t="shared" ref="N222:S222" si="31">SUM(N216:N221)</f>
        <v>3.54</v>
      </c>
      <c r="O222" s="307">
        <f t="shared" si="31"/>
        <v>3.54</v>
      </c>
      <c r="P222" s="307">
        <f t="shared" si="31"/>
        <v>3.54</v>
      </c>
      <c r="Q222" s="307">
        <f t="shared" si="31"/>
        <v>0</v>
      </c>
      <c r="R222" s="307">
        <f t="shared" si="31"/>
        <v>0</v>
      </c>
      <c r="S222" s="307">
        <f t="shared" si="31"/>
        <v>0</v>
      </c>
      <c r="T222" s="307">
        <f>SUM(T216:T221)</f>
        <v>0</v>
      </c>
      <c r="U222" s="307">
        <f t="shared" ref="U222:AG222" si="32">SUM(U216:U221)</f>
        <v>0</v>
      </c>
      <c r="V222" s="307">
        <f t="shared" si="32"/>
        <v>0</v>
      </c>
      <c r="W222" s="307">
        <f t="shared" si="32"/>
        <v>0</v>
      </c>
      <c r="X222" s="307">
        <f t="shared" si="32"/>
        <v>0</v>
      </c>
      <c r="Y222" s="307">
        <f t="shared" si="32"/>
        <v>0</v>
      </c>
      <c r="Z222" s="307">
        <f t="shared" si="32"/>
        <v>0</v>
      </c>
      <c r="AA222" s="307">
        <f t="shared" si="32"/>
        <v>0</v>
      </c>
      <c r="AB222" s="307">
        <f t="shared" si="32"/>
        <v>0</v>
      </c>
      <c r="AC222" s="307">
        <f t="shared" si="32"/>
        <v>0</v>
      </c>
      <c r="AD222" s="307">
        <f t="shared" si="32"/>
        <v>0</v>
      </c>
      <c r="AE222" s="307">
        <f t="shared" si="32"/>
        <v>0</v>
      </c>
      <c r="AF222" s="307">
        <f t="shared" si="32"/>
        <v>0</v>
      </c>
      <c r="AG222" s="317">
        <f t="shared" si="32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1744.94</v>
      </c>
      <c r="C231" s="333">
        <f>INDEX(G9:N9,1,MATCH(MAX(G79:N79),G79:N79,0))</f>
        <v>0.33333333333333331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28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str">
        <f ca="1">"Pie Chart of Daily Peak Demand(Inclusive of Export) of Nepal ("&amp;A4&amp;" "&amp;B4&amp;")"</f>
        <v>Pie Chart of Daily Peak Demand(Inclusive of Export) of Nepal (Nepali Date: 2079/05/28)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str">
        <f ca="1">"Daily Load Curve(Excluding of Export) of Nepal ("&amp;A4&amp;" "&amp;B4&amp;")"</f>
        <v>Daily Load Curve(Excluding of Export) of Nepal (Nepali Date: 2079/05/28)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33">B79</f>
        <v>1753.6399999999999</v>
      </c>
      <c r="U236" s="343">
        <f t="shared" si="33"/>
        <v>1745.4399999999998</v>
      </c>
      <c r="V236" s="343">
        <f t="shared" si="33"/>
        <v>1686.24</v>
      </c>
      <c r="W236" s="343">
        <f t="shared" si="33"/>
        <v>1660.24</v>
      </c>
      <c r="X236" s="343">
        <f t="shared" si="33"/>
        <v>1651.84</v>
      </c>
      <c r="Y236" s="343">
        <f t="shared" si="33"/>
        <v>1621.64</v>
      </c>
      <c r="Z236" s="343">
        <f t="shared" si="33"/>
        <v>1657.74</v>
      </c>
      <c r="AA236" s="343">
        <f t="shared" si="33"/>
        <v>1656.44</v>
      </c>
      <c r="AB236" s="343">
        <f t="shared" si="33"/>
        <v>1665.64</v>
      </c>
      <c r="AC236" s="343">
        <f t="shared" si="33"/>
        <v>1743.54</v>
      </c>
      <c r="AD236" s="343">
        <f t="shared" si="33"/>
        <v>1737.94</v>
      </c>
      <c r="AE236" s="343">
        <f t="shared" si="33"/>
        <v>1744.94</v>
      </c>
      <c r="AF236" s="343">
        <f t="shared" si="33"/>
        <v>1727.8400000000001</v>
      </c>
      <c r="AG236" s="343">
        <f t="shared" si="33"/>
        <v>1707.44</v>
      </c>
      <c r="AH236" s="343">
        <f t="shared" si="33"/>
        <v>1800.0400000000002</v>
      </c>
      <c r="AI236" s="343">
        <f t="shared" si="33"/>
        <v>1802.67</v>
      </c>
      <c r="AJ236" s="343">
        <f t="shared" si="33"/>
        <v>1780.44</v>
      </c>
      <c r="AK236" s="343">
        <f t="shared" si="33"/>
        <v>1801.61</v>
      </c>
      <c r="AL236" s="343">
        <f t="shared" si="33"/>
        <v>1811.3400000000001</v>
      </c>
      <c r="AM236" s="343">
        <f t="shared" si="33"/>
        <v>1798.8400000000001</v>
      </c>
      <c r="AN236" s="343">
        <f t="shared" si="33"/>
        <v>1799.8400000000001</v>
      </c>
      <c r="AO236" s="343">
        <f t="shared" si="33"/>
        <v>1793.8400000000001</v>
      </c>
      <c r="AP236" s="343">
        <f t="shared" si="33"/>
        <v>1806.7400000000002</v>
      </c>
      <c r="AQ236" s="343">
        <f t="shared" si="33"/>
        <v>1799.3400000000001</v>
      </c>
      <c r="AR236" s="343">
        <f t="shared" si="33"/>
        <v>1851.94</v>
      </c>
      <c r="AS236" s="343">
        <f t="shared" si="33"/>
        <v>1824.14</v>
      </c>
      <c r="AT236" s="343">
        <f t="shared" si="33"/>
        <v>1792.3400000000001</v>
      </c>
      <c r="AU236" s="343">
        <f t="shared" si="33"/>
        <v>1792.1399999999999</v>
      </c>
      <c r="AV236" s="343">
        <f t="shared" si="33"/>
        <v>1829.24</v>
      </c>
      <c r="AW236" s="343">
        <f t="shared" si="33"/>
        <v>1780.5400000000002</v>
      </c>
      <c r="AX236" s="343">
        <f t="shared" si="33"/>
        <v>1744.64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34">C221</f>
        <v>0.64</v>
      </c>
      <c r="C257" s="346">
        <f t="shared" si="34"/>
        <v>0.64</v>
      </c>
      <c r="D257" s="346">
        <f t="shared" si="34"/>
        <v>0.64</v>
      </c>
      <c r="E257" s="346">
        <f t="shared" si="34"/>
        <v>0.64</v>
      </c>
      <c r="F257" s="346">
        <f t="shared" si="34"/>
        <v>0.64</v>
      </c>
      <c r="G257" s="346">
        <f t="shared" si="34"/>
        <v>0.64</v>
      </c>
      <c r="H257" s="346">
        <f t="shared" si="34"/>
        <v>0.64</v>
      </c>
      <c r="I257" s="346">
        <f t="shared" si="34"/>
        <v>0.64</v>
      </c>
      <c r="J257" s="346">
        <f t="shared" si="34"/>
        <v>0.64</v>
      </c>
      <c r="K257" s="346">
        <f t="shared" si="34"/>
        <v>0.64</v>
      </c>
      <c r="L257" s="346">
        <f t="shared" si="34"/>
        <v>0.64</v>
      </c>
      <c r="M257" s="346">
        <f t="shared" si="34"/>
        <v>0.64</v>
      </c>
      <c r="N257" s="346">
        <f t="shared" si="34"/>
        <v>0.64</v>
      </c>
      <c r="O257" s="346">
        <f t="shared" si="34"/>
        <v>0.64</v>
      </c>
      <c r="P257" s="346">
        <f t="shared" si="34"/>
        <v>0</v>
      </c>
      <c r="Q257" s="346">
        <f t="shared" si="34"/>
        <v>0</v>
      </c>
      <c r="R257" s="346">
        <f t="shared" si="34"/>
        <v>0</v>
      </c>
      <c r="S257" s="346">
        <f t="shared" si="34"/>
        <v>0</v>
      </c>
      <c r="T257" s="346">
        <f t="shared" si="34"/>
        <v>0</v>
      </c>
      <c r="U257" s="346">
        <f t="shared" si="34"/>
        <v>0</v>
      </c>
      <c r="V257" s="346">
        <f t="shared" si="34"/>
        <v>0</v>
      </c>
      <c r="W257" s="346">
        <f t="shared" si="34"/>
        <v>0</v>
      </c>
      <c r="X257" s="346">
        <f t="shared" si="34"/>
        <v>0</v>
      </c>
      <c r="Y257" s="346">
        <f t="shared" si="34"/>
        <v>0</v>
      </c>
      <c r="Z257" s="346">
        <f t="shared" si="34"/>
        <v>0</v>
      </c>
      <c r="AA257" s="346">
        <f t="shared" si="34"/>
        <v>0</v>
      </c>
      <c r="AB257" s="346">
        <f t="shared" si="34"/>
        <v>0</v>
      </c>
      <c r="AC257" s="346">
        <f t="shared" si="34"/>
        <v>0</v>
      </c>
      <c r="AD257" s="346">
        <f t="shared" si="34"/>
        <v>0</v>
      </c>
      <c r="AE257" s="346">
        <f t="shared" si="34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35">IF(C225&lt;100,"",C225-520)</f>
        <v/>
      </c>
      <c r="D258" s="347" t="str">
        <f t="shared" si="35"/>
        <v/>
      </c>
      <c r="E258" s="347" t="str">
        <f t="shared" si="35"/>
        <v/>
      </c>
      <c r="F258" s="347" t="str">
        <f t="shared" si="35"/>
        <v/>
      </c>
      <c r="G258" s="347" t="str">
        <f t="shared" si="35"/>
        <v/>
      </c>
      <c r="H258" s="347" t="str">
        <f t="shared" si="35"/>
        <v/>
      </c>
      <c r="I258" s="347" t="str">
        <f t="shared" si="35"/>
        <v/>
      </c>
      <c r="J258" s="347" t="str">
        <f t="shared" si="35"/>
        <v/>
      </c>
      <c r="K258" s="347" t="str">
        <f t="shared" si="35"/>
        <v/>
      </c>
      <c r="L258" s="347" t="str">
        <f t="shared" si="35"/>
        <v/>
      </c>
      <c r="M258" s="347" t="str">
        <f t="shared" si="35"/>
        <v/>
      </c>
      <c r="N258" s="347" t="str">
        <f t="shared" si="35"/>
        <v/>
      </c>
      <c r="O258" s="347" t="str">
        <f t="shared" si="35"/>
        <v/>
      </c>
      <c r="P258" s="347" t="str">
        <f t="shared" si="35"/>
        <v/>
      </c>
      <c r="Q258" s="347" t="str">
        <f t="shared" si="35"/>
        <v/>
      </c>
      <c r="R258" s="347" t="str">
        <f t="shared" si="35"/>
        <v/>
      </c>
      <c r="S258" s="347" t="str">
        <f t="shared" si="35"/>
        <v/>
      </c>
      <c r="T258" s="347" t="str">
        <f t="shared" si="35"/>
        <v/>
      </c>
      <c r="U258" s="347" t="str">
        <f t="shared" si="35"/>
        <v/>
      </c>
      <c r="V258" s="347" t="str">
        <f t="shared" si="35"/>
        <v/>
      </c>
      <c r="W258" s="347" t="str">
        <f t="shared" si="35"/>
        <v/>
      </c>
      <c r="X258" s="347" t="str">
        <f t="shared" si="35"/>
        <v/>
      </c>
      <c r="Y258" s="347" t="str">
        <f t="shared" si="35"/>
        <v/>
      </c>
      <c r="Z258" s="347" t="str">
        <f t="shared" si="35"/>
        <v/>
      </c>
      <c r="AA258" s="347" t="str">
        <f t="shared" si="35"/>
        <v/>
      </c>
      <c r="AB258" s="347" t="str">
        <f t="shared" si="35"/>
        <v/>
      </c>
      <c r="AC258" s="347" t="str">
        <f t="shared" si="35"/>
        <v/>
      </c>
      <c r="AD258" s="347" t="str">
        <f t="shared" si="35"/>
        <v/>
      </c>
      <c r="AE258" s="347" t="str">
        <f t="shared" si="35"/>
        <v/>
      </c>
      <c r="AF258" s="347" t="str">
        <f t="shared" si="35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36">IF(B226&lt;100,"",B226-620)</f>
        <v/>
      </c>
      <c r="C259" s="347" t="str">
        <f t="shared" si="36"/>
        <v/>
      </c>
      <c r="D259" s="347" t="str">
        <f t="shared" si="36"/>
        <v/>
      </c>
      <c r="E259" s="347" t="str">
        <f t="shared" si="36"/>
        <v/>
      </c>
      <c r="F259" s="347" t="str">
        <f t="shared" si="36"/>
        <v/>
      </c>
      <c r="G259" s="347" t="str">
        <f t="shared" si="36"/>
        <v/>
      </c>
      <c r="H259" s="347" t="str">
        <f t="shared" si="36"/>
        <v/>
      </c>
      <c r="I259" s="347" t="str">
        <f t="shared" si="36"/>
        <v/>
      </c>
      <c r="J259" s="347" t="str">
        <f t="shared" si="36"/>
        <v/>
      </c>
      <c r="K259" s="347" t="str">
        <f t="shared" si="36"/>
        <v/>
      </c>
      <c r="L259" s="347" t="str">
        <f t="shared" si="36"/>
        <v/>
      </c>
      <c r="M259" s="347" t="str">
        <f t="shared" si="36"/>
        <v/>
      </c>
      <c r="N259" s="347" t="str">
        <f t="shared" si="36"/>
        <v/>
      </c>
      <c r="O259" s="347" t="str">
        <f t="shared" si="36"/>
        <v/>
      </c>
      <c r="P259" s="347" t="str">
        <f t="shared" si="36"/>
        <v/>
      </c>
      <c r="Q259" s="347" t="str">
        <f t="shared" si="36"/>
        <v/>
      </c>
      <c r="R259" s="347" t="str">
        <f t="shared" si="36"/>
        <v/>
      </c>
      <c r="S259" s="347" t="str">
        <f t="shared" si="36"/>
        <v/>
      </c>
      <c r="T259" s="347" t="str">
        <f t="shared" si="36"/>
        <v/>
      </c>
      <c r="U259" s="347" t="str">
        <f t="shared" si="36"/>
        <v/>
      </c>
      <c r="V259" s="347" t="str">
        <f t="shared" si="36"/>
        <v/>
      </c>
      <c r="W259" s="347" t="str">
        <f t="shared" si="36"/>
        <v/>
      </c>
      <c r="X259" s="347" t="str">
        <f t="shared" si="36"/>
        <v/>
      </c>
      <c r="Y259" s="347" t="str">
        <f t="shared" si="36"/>
        <v/>
      </c>
      <c r="Z259" s="347" t="str">
        <f t="shared" si="36"/>
        <v/>
      </c>
      <c r="AA259" s="347" t="str">
        <f t="shared" si="36"/>
        <v/>
      </c>
      <c r="AB259" s="347" t="str">
        <f t="shared" si="36"/>
        <v/>
      </c>
      <c r="AC259" s="347" t="str">
        <f t="shared" si="36"/>
        <v/>
      </c>
      <c r="AD259" s="347" t="str">
        <f t="shared" si="36"/>
        <v/>
      </c>
      <c r="AE259" s="347" t="str">
        <f t="shared" si="36"/>
        <v/>
      </c>
      <c r="AF259" s="347" t="str">
        <f t="shared" si="36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37">IF(B227&lt;100,"",B227-330)</f>
        <v/>
      </c>
      <c r="C260" s="347" t="str">
        <f t="shared" si="37"/>
        <v/>
      </c>
      <c r="D260" s="347" t="str">
        <f t="shared" si="37"/>
        <v/>
      </c>
      <c r="E260" s="347" t="str">
        <f t="shared" si="37"/>
        <v/>
      </c>
      <c r="F260" s="347" t="str">
        <f t="shared" si="37"/>
        <v/>
      </c>
      <c r="G260" s="347" t="str">
        <f t="shared" si="37"/>
        <v/>
      </c>
      <c r="H260" s="347" t="str">
        <f t="shared" si="37"/>
        <v/>
      </c>
      <c r="I260" s="347" t="str">
        <f t="shared" si="37"/>
        <v/>
      </c>
      <c r="J260" s="347" t="str">
        <f t="shared" si="37"/>
        <v/>
      </c>
      <c r="K260" s="347" t="str">
        <f t="shared" si="37"/>
        <v/>
      </c>
      <c r="L260" s="347" t="str">
        <f t="shared" si="37"/>
        <v/>
      </c>
      <c r="M260" s="347" t="str">
        <f t="shared" si="37"/>
        <v/>
      </c>
      <c r="N260" s="347" t="str">
        <f t="shared" si="37"/>
        <v/>
      </c>
      <c r="O260" s="347" t="str">
        <f t="shared" si="37"/>
        <v/>
      </c>
      <c r="P260" s="347" t="str">
        <f t="shared" si="37"/>
        <v/>
      </c>
      <c r="Q260" s="347" t="str">
        <f t="shared" si="37"/>
        <v/>
      </c>
      <c r="R260" s="347" t="str">
        <f t="shared" si="37"/>
        <v/>
      </c>
      <c r="S260" s="347" t="str">
        <f t="shared" si="37"/>
        <v/>
      </c>
      <c r="T260" s="347" t="str">
        <f t="shared" si="37"/>
        <v/>
      </c>
      <c r="U260" s="347" t="str">
        <f t="shared" si="37"/>
        <v/>
      </c>
      <c r="V260" s="347" t="str">
        <f t="shared" si="37"/>
        <v/>
      </c>
      <c r="W260" s="347" t="str">
        <f t="shared" si="37"/>
        <v/>
      </c>
      <c r="X260" s="347" t="str">
        <f t="shared" si="37"/>
        <v/>
      </c>
      <c r="Y260" s="347" t="str">
        <f t="shared" si="37"/>
        <v/>
      </c>
      <c r="Z260" s="347" t="str">
        <f t="shared" si="37"/>
        <v/>
      </c>
      <c r="AA260" s="347" t="str">
        <f t="shared" si="37"/>
        <v/>
      </c>
      <c r="AB260" s="347" t="str">
        <f t="shared" si="37"/>
        <v/>
      </c>
      <c r="AC260" s="347" t="str">
        <f t="shared" si="37"/>
        <v/>
      </c>
      <c r="AD260" s="347" t="str">
        <f t="shared" si="37"/>
        <v/>
      </c>
      <c r="AE260" s="347" t="str">
        <f t="shared" si="37"/>
        <v/>
      </c>
      <c r="AF260" s="347" t="str">
        <f t="shared" si="37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38">IF(C228&lt;100,"",C228-1500)</f>
        <v/>
      </c>
      <c r="D261" s="347" t="str">
        <f t="shared" si="38"/>
        <v/>
      </c>
      <c r="E261" s="347" t="str">
        <f t="shared" si="38"/>
        <v/>
      </c>
      <c r="F261" s="347" t="str">
        <f t="shared" si="38"/>
        <v/>
      </c>
      <c r="G261" s="347" t="str">
        <f t="shared" si="38"/>
        <v/>
      </c>
      <c r="H261" s="347" t="str">
        <f t="shared" si="38"/>
        <v/>
      </c>
      <c r="I261" s="347" t="str">
        <f t="shared" si="38"/>
        <v/>
      </c>
      <c r="J261" s="347" t="str">
        <f t="shared" si="38"/>
        <v/>
      </c>
      <c r="K261" s="347" t="str">
        <f t="shared" si="38"/>
        <v/>
      </c>
      <c r="L261" s="347" t="str">
        <f t="shared" si="38"/>
        <v/>
      </c>
      <c r="M261" s="347" t="str">
        <f t="shared" si="38"/>
        <v/>
      </c>
      <c r="N261" s="347" t="str">
        <f t="shared" si="38"/>
        <v/>
      </c>
      <c r="O261" s="347" t="str">
        <f t="shared" si="38"/>
        <v/>
      </c>
      <c r="P261" s="347" t="str">
        <f t="shared" si="38"/>
        <v/>
      </c>
      <c r="Q261" s="347" t="str">
        <f t="shared" si="38"/>
        <v/>
      </c>
      <c r="R261" s="347" t="str">
        <f t="shared" si="38"/>
        <v/>
      </c>
      <c r="S261" s="347" t="str">
        <f t="shared" si="38"/>
        <v/>
      </c>
      <c r="T261" s="347" t="str">
        <f t="shared" si="38"/>
        <v/>
      </c>
      <c r="U261" s="347" t="str">
        <f t="shared" si="38"/>
        <v/>
      </c>
      <c r="V261" s="347" t="str">
        <f t="shared" si="38"/>
        <v/>
      </c>
      <c r="W261" s="347" t="str">
        <f t="shared" si="38"/>
        <v/>
      </c>
      <c r="X261" s="347" t="str">
        <f t="shared" si="38"/>
        <v/>
      </c>
      <c r="Y261" s="347" t="str">
        <f t="shared" si="38"/>
        <v/>
      </c>
      <c r="Z261" s="347" t="str">
        <f t="shared" si="38"/>
        <v/>
      </c>
      <c r="AA261" s="347" t="str">
        <f t="shared" si="38"/>
        <v/>
      </c>
      <c r="AB261" s="347" t="str">
        <f t="shared" si="38"/>
        <v/>
      </c>
      <c r="AC261" s="347" t="str">
        <f t="shared" si="38"/>
        <v/>
      </c>
      <c r="AD261" s="347" t="str">
        <f t="shared" si="38"/>
        <v/>
      </c>
      <c r="AE261" s="347" t="str">
        <f t="shared" si="38"/>
        <v/>
      </c>
      <c r="AF261" s="347" t="str">
        <f t="shared" si="38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B9:AF10 C99:AF99 C101:AF106 Z11:AF11">
    <cfRule type="expression" dxfId="1610" priority="241">
      <formula>B$9&gt;=20/24</formula>
    </cfRule>
    <cfRule type="expression" dxfId="1609" priority="242">
      <formula>AND(B$9&gt;=14/24,B$9&lt;20/24)</formula>
    </cfRule>
    <cfRule type="expression" dxfId="1608" priority="243">
      <formula>AND(B$9&gt;=8/24,B$9&lt;14/24)</formula>
    </cfRule>
    <cfRule type="expression" dxfId="1607" priority="244">
      <formula>B$9&lt;8/24</formula>
    </cfRule>
  </conditionalFormatting>
  <conditionalFormatting sqref="AL4:AL6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606" priority="236">
      <formula>S$9&gt;=20/24</formula>
    </cfRule>
    <cfRule type="expression" dxfId="1605" priority="237">
      <formula>AND(S$9&gt;=14/24,S$9&lt;20/24)</formula>
    </cfRule>
    <cfRule type="expression" dxfId="1604" priority="238">
      <formula>AND(S$9&gt;=8/24,S$9&lt;14/24)</formula>
    </cfRule>
    <cfRule type="expression" dxfId="1603" priority="239">
      <formula>S$9&lt;8/24</formula>
    </cfRule>
  </conditionalFormatting>
  <conditionalFormatting sqref="AG55 B12:L16 M11:N11 M16:N16 S37:AF37 B35:AF35 O11:AF16">
    <cfRule type="expression" dxfId="1602" priority="235">
      <formula>B11&gt;$AG11</formula>
    </cfRule>
  </conditionalFormatting>
  <conditionalFormatting sqref="A89:A99 A11:A14 A49:A76 A85:A87 A192:A222 A16:A30 A36:A47 A108:A179 A32:A33 A81:A83 A78:A79 A101:A103">
    <cfRule type="expression" dxfId="1601" priority="234">
      <formula>$AH11=0</formula>
    </cfRule>
  </conditionalFormatting>
  <conditionalFormatting sqref="A104">
    <cfRule type="expression" dxfId="1600" priority="233">
      <formula>$AH104=0</formula>
    </cfRule>
  </conditionalFormatting>
  <conditionalFormatting sqref="AL3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599" priority="231">
      <formula>$AH35=0</formula>
    </cfRule>
  </conditionalFormatting>
  <conditionalFormatting sqref="A88">
    <cfRule type="expression" dxfId="1598" priority="230">
      <formula>$AH88=0</formula>
    </cfRule>
  </conditionalFormatting>
  <conditionalFormatting sqref="A15">
    <cfRule type="expression" dxfId="1597" priority="229">
      <formula>$AH15=0</formula>
    </cfRule>
  </conditionalFormatting>
  <conditionalFormatting sqref="A186:A191">
    <cfRule type="expression" dxfId="1596" priority="228">
      <formula>$AH186=0</formula>
    </cfRule>
  </conditionalFormatting>
  <conditionalFormatting sqref="A180:A185">
    <cfRule type="expression" dxfId="1595" priority="227">
      <formula>$AH180=0</formula>
    </cfRule>
  </conditionalFormatting>
  <conditionalFormatting sqref="A48">
    <cfRule type="expression" dxfId="1594" priority="226">
      <formula>$AH48=0</formula>
    </cfRule>
  </conditionalFormatting>
  <conditionalFormatting sqref="A84">
    <cfRule type="expression" dxfId="1593" priority="225">
      <formula>$AH84=0</formula>
    </cfRule>
  </conditionalFormatting>
  <conditionalFormatting sqref="C89:AF89">
    <cfRule type="expression" dxfId="1592" priority="221">
      <formula>C$9&gt;=20/24</formula>
    </cfRule>
    <cfRule type="expression" dxfId="1591" priority="222">
      <formula>AND(C$9&gt;=14/24,C$9&lt;20/24)</formula>
    </cfRule>
    <cfRule type="expression" dxfId="1590" priority="223">
      <formula>AND(C$9&gt;=8/24,C$9&lt;14/24)</formula>
    </cfRule>
    <cfRule type="expression" dxfId="1589" priority="224">
      <formula>C$9&lt;8/24</formula>
    </cfRule>
  </conditionalFormatting>
  <conditionalFormatting sqref="AL34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588" priority="247">
      <formula>C$9&gt;=20/24</formula>
    </cfRule>
    <cfRule type="expression" dxfId="1587" priority="248">
      <formula>AND(C$9&gt;=14/24,C$9&lt;20/24)</formula>
    </cfRule>
    <cfRule type="expression" dxfId="1586" priority="249">
      <formula>AND(C$9&gt;=8/24,C$9&lt;14/24)</formula>
    </cfRule>
    <cfRule type="expression" dxfId="1585" priority="250">
      <formula>C$9&lt;8/24</formula>
    </cfRule>
  </conditionalFormatting>
  <conditionalFormatting sqref="A223">
    <cfRule type="expression" dxfId="1584" priority="251">
      <formula>$AH223=0</formula>
    </cfRule>
  </conditionalFormatting>
  <conditionalFormatting sqref="AG235">
    <cfRule type="expression" dxfId="1583" priority="252">
      <formula>B$9&gt;=20/24</formula>
    </cfRule>
    <cfRule type="expression" dxfId="1582" priority="253">
      <formula>AND(B$9&gt;=14/24,B$9&lt;20/24)</formula>
    </cfRule>
    <cfRule type="expression" dxfId="1581" priority="254">
      <formula>AND(B$9&gt;=8/24,B$9&lt;14/24)</formula>
    </cfRule>
    <cfRule type="expression" dxfId="1580" priority="255">
      <formula>B$9&lt;8/24</formula>
    </cfRule>
  </conditionalFormatting>
  <conditionalFormatting sqref="S8">
    <cfRule type="expression" dxfId="1579" priority="216">
      <formula>U$9&gt;=20/24</formula>
    </cfRule>
    <cfRule type="expression" dxfId="1578" priority="217">
      <formula>AND(U$9&gt;=14/24,U$9&lt;20/24)</formula>
    </cfRule>
    <cfRule type="expression" dxfId="1577" priority="218">
      <formula>AND(U$9&gt;=8/24,U$9&lt;14/24)</formula>
    </cfRule>
    <cfRule type="expression" dxfId="1576" priority="219">
      <formula>U$9&lt;8/24</formula>
    </cfRule>
  </conditionalFormatting>
  <conditionalFormatting sqref="AB8">
    <cfRule type="expression" dxfId="1575" priority="212">
      <formula>AD$9&gt;=20/24</formula>
    </cfRule>
    <cfRule type="expression" dxfId="1574" priority="213">
      <formula>AND(AD$9&gt;=14/24,AD$9&lt;20/24)</formula>
    </cfRule>
    <cfRule type="expression" dxfId="1573" priority="214">
      <formula>AND(AD$9&gt;=8/24,AD$9&lt;14/24)</formula>
    </cfRule>
    <cfRule type="expression" dxfId="1572" priority="215">
      <formula>AD$9&lt;8/24</formula>
    </cfRule>
  </conditionalFormatting>
  <conditionalFormatting sqref="AH235:AX235">
    <cfRule type="expression" dxfId="1571" priority="256">
      <formula>AG$9&gt;=20/24</formula>
    </cfRule>
    <cfRule type="expression" dxfId="1570" priority="257">
      <formula>AND(AG$9&gt;=14/24,AG$9&lt;20/24)</formula>
    </cfRule>
    <cfRule type="expression" dxfId="1569" priority="258">
      <formula>AND(AG$9&gt;=8/24,AG$9&lt;14/24)</formula>
    </cfRule>
    <cfRule type="expression" dxfId="1568" priority="259">
      <formula>AG$9&lt;8/24</formula>
    </cfRule>
  </conditionalFormatting>
  <conditionalFormatting sqref="T235">
    <cfRule type="expression" dxfId="1567" priority="260">
      <formula>AX$9&gt;=20/24</formula>
    </cfRule>
    <cfRule type="expression" dxfId="1566" priority="261">
      <formula>AND(AX$9&gt;=14/24,AX$9&lt;20/24)</formula>
    </cfRule>
    <cfRule type="expression" dxfId="1565" priority="262">
      <formula>AND(AX$9&gt;=8/24,AX$9&lt;14/24)</formula>
    </cfRule>
    <cfRule type="expression" dxfId="1564" priority="263">
      <formula>AX$9&lt;8/24</formula>
    </cfRule>
  </conditionalFormatting>
  <conditionalFormatting sqref="A105:A106">
    <cfRule type="expression" dxfId="1563" priority="211">
      <formula>$AH105=0</formula>
    </cfRule>
  </conditionalFormatting>
  <conditionalFormatting sqref="E44:L45 C61:AF61 Z44:AF45 Z36:AF36">
    <cfRule type="expression" dxfId="1562" priority="207">
      <formula>C$9&gt;=20/24</formula>
    </cfRule>
    <cfRule type="expression" dxfId="1561" priority="208">
      <formula>AND(C$9&gt;=14/24,C$9&lt;20/24)</formula>
    </cfRule>
    <cfRule type="expression" dxfId="1560" priority="209">
      <formula>AND(C$9&gt;=8/24,C$9&lt;14/24)</formula>
    </cfRule>
    <cfRule type="expression" dxfId="1559" priority="210">
      <formula>C$9&lt;8/24</formula>
    </cfRule>
  </conditionalFormatting>
  <conditionalFormatting sqref="E43:L43 S43:AF43">
    <cfRule type="expression" dxfId="1558" priority="203">
      <formula>E$9&gt;=20/24</formula>
    </cfRule>
    <cfRule type="expression" dxfId="1557" priority="204">
      <formula>AND(E$9&gt;=14/24,E$9&lt;20/24)</formula>
    </cfRule>
    <cfRule type="expression" dxfId="1556" priority="205">
      <formula>AND(E$9&gt;=8/24,E$9&lt;14/24)</formula>
    </cfRule>
    <cfRule type="expression" dxfId="1555" priority="206">
      <formula>E$9&lt;8/24</formula>
    </cfRule>
  </conditionalFormatting>
  <conditionalFormatting sqref="E43:L45 S43:Y43 Z43:AF45 Z36:AF36">
    <cfRule type="expression" dxfId="1554" priority="202">
      <formula>E36&gt;$AG36</formula>
    </cfRule>
  </conditionalFormatting>
  <conditionalFormatting sqref="C86:AF86 C76:AF76 C71:H71 C66:H67 C62:I65 I66:I71 L62:V63 J62:K71 R64:S68 L64:Q67 M37:R37 S69:S71 L71:R71 T64:V71 Q29:Y29 P24:Y24 O18:Y19 M11:Y14 C90:AF96 Z18:AF22 Z28:AF32 M16:AF16 Z12:AF14 M57:AF59 W62:AF71 S73:AF75 Z24:AF26">
    <cfRule type="expression" dxfId="1553" priority="198">
      <formula>C$9&gt;=20/24</formula>
    </cfRule>
    <cfRule type="expression" dxfId="1552" priority="199">
      <formula>AND(C$9&gt;=14/24,C$9&lt;20/24)</formula>
    </cfRule>
    <cfRule type="expression" dxfId="1551" priority="200">
      <formula>AND(C$9&gt;=8/24,C$9&lt;14/24)</formula>
    </cfRule>
    <cfRule type="expression" dxfId="1550" priority="201">
      <formula>C$9&lt;8/24</formula>
    </cfRule>
  </conditionalFormatting>
  <conditionalFormatting sqref="Z33:AF33">
    <cfRule type="expression" dxfId="1549" priority="194">
      <formula>Z$9&gt;=20/24</formula>
    </cfRule>
    <cfRule type="expression" dxfId="1548" priority="195">
      <formula>AND(Z$9&gt;=14/24,Z$9&lt;20/24)</formula>
    </cfRule>
    <cfRule type="expression" dxfId="1547" priority="196">
      <formula>AND(Z$9&gt;=8/24,Z$9&lt;14/24)</formula>
    </cfRule>
    <cfRule type="expression" dxfId="1546" priority="197">
      <formula>Z$9&lt;8/24</formula>
    </cfRule>
  </conditionalFormatting>
  <conditionalFormatting sqref="AC46:AE46 C55:AF55 E46:F47 G46:L48 M11:N15 C37:R37 Q29:Y29 P24:Y24 O18:Y19 O11:Y11 AD47:AE47 Z18:AF22 AF46:AF47 M57:AF59 Z24:AF33">
    <cfRule type="expression" dxfId="1545" priority="193">
      <formula>C11&gt;$AG11</formula>
    </cfRule>
  </conditionalFormatting>
  <conditionalFormatting sqref="Z35:AF35">
    <cfRule type="expression" dxfId="1544" priority="189">
      <formula>Z$9&gt;=20/24</formula>
    </cfRule>
    <cfRule type="expression" dxfId="1543" priority="190">
      <formula>AND(Z$9&gt;=14/24,Z$9&lt;20/24)</formula>
    </cfRule>
    <cfRule type="expression" dxfId="1542" priority="191">
      <formula>AND(Z$9&gt;=8/24,Z$9&lt;14/24)</formula>
    </cfRule>
    <cfRule type="expression" dxfId="1541" priority="192">
      <formula>Z$9&lt;8/24</formula>
    </cfRule>
  </conditionalFormatting>
  <conditionalFormatting sqref="M15:AF15">
    <cfRule type="expression" dxfId="1540" priority="185">
      <formula>M$9&gt;=20/24</formula>
    </cfRule>
    <cfRule type="expression" dxfId="1539" priority="186">
      <formula>AND(M$9&gt;=14/24,M$9&lt;20/24)</formula>
    </cfRule>
    <cfRule type="expression" dxfId="1538" priority="187">
      <formula>AND(M$9&gt;=8/24,M$9&lt;14/24)</formula>
    </cfRule>
    <cfRule type="expression" dxfId="1537" priority="188">
      <formula>M$9&lt;8/24</formula>
    </cfRule>
  </conditionalFormatting>
  <conditionalFormatting sqref="Z34:AF34">
    <cfRule type="expression" dxfId="1536" priority="181">
      <formula>Z$9&gt;=20/24</formula>
    </cfRule>
    <cfRule type="expression" dxfId="1535" priority="182">
      <formula>AND(Z$9&gt;=14/24,Z$9&lt;20/24)</formula>
    </cfRule>
    <cfRule type="expression" dxfId="1534" priority="183">
      <formula>AND(Z$9&gt;=8/24,Z$9&lt;14/24)</formula>
    </cfRule>
    <cfRule type="expression" dxfId="1533" priority="184">
      <formula>Z$9&lt;8/24</formula>
    </cfRule>
  </conditionalFormatting>
  <conditionalFormatting sqref="Z34:AF34">
    <cfRule type="expression" dxfId="1532" priority="180">
      <formula>Z34&gt;$AG34</formula>
    </cfRule>
  </conditionalFormatting>
  <conditionalFormatting sqref="Z46:AB47 AC47">
    <cfRule type="expression" dxfId="1531" priority="172">
      <formula>Z$9&gt;=20/24</formula>
    </cfRule>
    <cfRule type="expression" dxfId="1530" priority="173">
      <formula>AND(Z$9&gt;=14/24,Z$9&lt;20/24)</formula>
    </cfRule>
    <cfRule type="expression" dxfId="1529" priority="174">
      <formula>AND(Z$9&gt;=8/24,Z$9&lt;14/24)</formula>
    </cfRule>
    <cfRule type="expression" dxfId="1528" priority="175">
      <formula>Z$9&lt;8/24</formula>
    </cfRule>
  </conditionalFormatting>
  <conditionalFormatting sqref="Z46:AB47 AC47">
    <cfRule type="expression" dxfId="1527" priority="171">
      <formula>Z46&gt;$AG46</formula>
    </cfRule>
  </conditionalFormatting>
  <conditionalFormatting sqref="M43:R47 S44:U47 M48:U49 V44:Y49 Z48:AF54">
    <cfRule type="expression" dxfId="1526" priority="167">
      <formula>M$9&gt;=20/24</formula>
    </cfRule>
    <cfRule type="expression" dxfId="1525" priority="168">
      <formula>AND(M$9&gt;=14/24,M$9&lt;20/24)</formula>
    </cfRule>
    <cfRule type="expression" dxfId="1524" priority="169">
      <formula>AND(M$9&gt;=8/24,M$9&lt;14/24)</formula>
    </cfRule>
    <cfRule type="expression" dxfId="1523" priority="170">
      <formula>M$9&lt;8/24</formula>
    </cfRule>
  </conditionalFormatting>
  <conditionalFormatting sqref="M43:R47 S44:U47 M48:U49 V44:Y49 Z48:AF54">
    <cfRule type="expression" dxfId="1522" priority="166">
      <formula>M43&gt;$AG43</formula>
    </cfRule>
  </conditionalFormatting>
  <conditionalFormatting sqref="Z27:AF27">
    <cfRule type="expression" dxfId="1521" priority="162">
      <formula>Z$9&gt;=20/24</formula>
    </cfRule>
    <cfRule type="expression" dxfId="1520" priority="163">
      <formula>AND(Z$9&gt;=14/24,Z$9&lt;20/24)</formula>
    </cfRule>
    <cfRule type="expression" dxfId="1519" priority="164">
      <formula>AND(Z$9&gt;=8/24,Z$9&lt;14/24)</formula>
    </cfRule>
    <cfRule type="expression" dxfId="1518" priority="165">
      <formula>Z$9&lt;8/24</formula>
    </cfRule>
  </conditionalFormatting>
  <conditionalFormatting sqref="M17:AF17 P23:AF23">
    <cfRule type="expression" dxfId="1517" priority="158">
      <formula>M$9&gt;=20/24</formula>
    </cfRule>
    <cfRule type="expression" dxfId="1516" priority="159">
      <formula>AND(M$9&gt;=14/24,M$9&lt;20/24)</formula>
    </cfRule>
    <cfRule type="expression" dxfId="1515" priority="160">
      <formula>AND(M$9&gt;=8/24,M$9&lt;14/24)</formula>
    </cfRule>
    <cfRule type="expression" dxfId="1514" priority="161">
      <formula>M$9&lt;8/24</formula>
    </cfRule>
  </conditionalFormatting>
  <conditionalFormatting sqref="M17:AF17 P23:AF23">
    <cfRule type="expression" dxfId="1513" priority="153">
      <formula>M17&gt;$AG17</formula>
    </cfRule>
  </conditionalFormatting>
  <conditionalFormatting sqref="C68:H70 L68:Q70 R69:R70">
    <cfRule type="expression" dxfId="1512" priority="127">
      <formula>C$9&gt;=20/24</formula>
    </cfRule>
    <cfRule type="expression" dxfId="1511" priority="128">
      <formula>AND(C$9&gt;=14/24,C$9&lt;20/24)</formula>
    </cfRule>
    <cfRule type="expression" dxfId="1510" priority="129">
      <formula>AND(C$9&gt;=8/24,C$9&lt;14/24)</formula>
    </cfRule>
    <cfRule type="expression" dxfId="1509" priority="130">
      <formula>C$9&lt;8/24</formula>
    </cfRule>
  </conditionalFormatting>
  <conditionalFormatting sqref="E48:F54 G49:L54 M50:Y54">
    <cfRule type="expression" dxfId="1508" priority="122">
      <formula>E$9&gt;=20/24</formula>
    </cfRule>
    <cfRule type="expression" dxfId="1507" priority="123">
      <formula>AND(E$9&gt;=14/24,E$9&lt;20/24)</formula>
    </cfRule>
    <cfRule type="expression" dxfId="1506" priority="124">
      <formula>AND(E$9&gt;=8/24,E$9&lt;14/24)</formula>
    </cfRule>
    <cfRule type="expression" dxfId="1505" priority="125">
      <formula>E$9&lt;8/24</formula>
    </cfRule>
  </conditionalFormatting>
  <conditionalFormatting sqref="E48:F54 G49:L54 M50:Y54">
    <cfRule type="expression" dxfId="1504" priority="121">
      <formula>E48&gt;$AG48</formula>
    </cfRule>
  </conditionalFormatting>
  <conditionalFormatting sqref="B99 B87:AF87 B101:B106 B11:L11 B78:AF78">
    <cfRule type="expression" dxfId="1503" priority="108">
      <formula>B$9&gt;=20/24</formula>
    </cfRule>
    <cfRule type="expression" dxfId="1502" priority="109">
      <formula>AND(B$9&gt;=14/24,B$9&lt;20/24)</formula>
    </cfRule>
    <cfRule type="expression" dxfId="1501" priority="110">
      <formula>AND(B$9&gt;=8/24,B$9&lt;14/24)</formula>
    </cfRule>
    <cfRule type="expression" dxfId="1500" priority="111">
      <formula>B$9&lt;8/24</formula>
    </cfRule>
  </conditionalFormatting>
  <conditionalFormatting sqref="B37">
    <cfRule type="expression" dxfId="1499" priority="104">
      <formula>B$9&gt;=20/24</formula>
    </cfRule>
    <cfRule type="expression" dxfId="1498" priority="105">
      <formula>AND(B$9&gt;=14/24,B$9&lt;20/24)</formula>
    </cfRule>
    <cfRule type="expression" dxfId="1497" priority="106">
      <formula>AND(B$9&gt;=8/24,B$9&lt;14/24)</formula>
    </cfRule>
    <cfRule type="expression" dxfId="1496" priority="107">
      <formula>B$9&lt;8/24</formula>
    </cfRule>
  </conditionalFormatting>
  <conditionalFormatting sqref="B37 B11:L11">
    <cfRule type="expression" dxfId="1495" priority="103">
      <formula>B11&gt;$AG11</formula>
    </cfRule>
  </conditionalFormatting>
  <conditionalFormatting sqref="B89">
    <cfRule type="expression" dxfId="1494" priority="99">
      <formula>B$9&gt;=20/24</formula>
    </cfRule>
    <cfRule type="expression" dxfId="1493" priority="100">
      <formula>AND(B$9&gt;=14/24,B$9&lt;20/24)</formula>
    </cfRule>
    <cfRule type="expression" dxfId="1492" priority="101">
      <formula>AND(B$9&gt;=8/24,B$9&lt;14/24)</formula>
    </cfRule>
    <cfRule type="expression" dxfId="1491" priority="102">
      <formula>B$9&lt;8/24</formula>
    </cfRule>
  </conditionalFormatting>
  <conditionalFormatting sqref="B61 B44:D45 B36:Y36">
    <cfRule type="expression" dxfId="1490" priority="95">
      <formula>B$9&gt;=20/24</formula>
    </cfRule>
    <cfRule type="expression" dxfId="1489" priority="96">
      <formula>AND(B$9&gt;=14/24,B$9&lt;20/24)</formula>
    </cfRule>
    <cfRule type="expression" dxfId="1488" priority="97">
      <formula>AND(B$9&gt;=8/24,B$9&lt;14/24)</formula>
    </cfRule>
    <cfRule type="expression" dxfId="1487" priority="98">
      <formula>B$9&lt;8/24</formula>
    </cfRule>
  </conditionalFormatting>
  <conditionalFormatting sqref="B43:D43">
    <cfRule type="expression" dxfId="1486" priority="91">
      <formula>B$9&gt;=20/24</formula>
    </cfRule>
    <cfRule type="expression" dxfId="1485" priority="92">
      <formula>AND(B$9&gt;=14/24,B$9&lt;20/24)</formula>
    </cfRule>
    <cfRule type="expression" dxfId="1484" priority="93">
      <formula>AND(B$9&gt;=8/24,B$9&lt;14/24)</formula>
    </cfRule>
    <cfRule type="expression" dxfId="1483" priority="94">
      <formula>B$9&lt;8/24</formula>
    </cfRule>
  </conditionalFormatting>
  <conditionalFormatting sqref="B43:D45 B36:Y36">
    <cfRule type="expression" dxfId="1482" priority="90">
      <formula>B36&gt;$AG36</formula>
    </cfRule>
  </conditionalFormatting>
  <conditionalFormatting sqref="B90:B96 B57:B60 B62:B71 B73:B77 B79:AF79 B86 C60:AG60 C77:AG77 B88:AF88 C57:L59 B12:L14 B16:L16 B18:N22 B24:O26 B28:P32 C73:R75 O20:Y22 P25:Y26 Q28:Y28 Q30:Y32">
    <cfRule type="expression" dxfId="1481" priority="86">
      <formula>B$9&gt;=20/24</formula>
    </cfRule>
    <cfRule type="expression" dxfId="1480" priority="87">
      <formula>AND(B$9&gt;=14/24,B$9&lt;20/24)</formula>
    </cfRule>
    <cfRule type="expression" dxfId="1479" priority="88">
      <formula>AND(B$9&gt;=8/24,B$9&lt;14/24)</formula>
    </cfRule>
    <cfRule type="expression" dxfId="1478" priority="89">
      <formula>B$9&lt;8/24</formula>
    </cfRule>
  </conditionalFormatting>
  <conditionalFormatting sqref="B33:Y33">
    <cfRule type="expression" dxfId="1477" priority="82">
      <formula>B$9&gt;=20/24</formula>
    </cfRule>
    <cfRule type="expression" dxfId="1476" priority="83">
      <formula>AND(B$9&gt;=14/24,B$9&lt;20/24)</formula>
    </cfRule>
    <cfRule type="expression" dxfId="1475" priority="84">
      <formula>AND(B$9&gt;=8/24,B$9&lt;14/24)</formula>
    </cfRule>
    <cfRule type="expression" dxfId="1474" priority="85">
      <formula>B$9&lt;8/24</formula>
    </cfRule>
  </conditionalFormatting>
  <conditionalFormatting sqref="B55:B60 B38:AG38 C56:AG56 C60:AG60 C57:L59 B46:D47 B18:N22 B24:O33 P25:P33 O20:Y22 Q25:Y28 Q30:Y33">
    <cfRule type="expression" dxfId="1473" priority="81">
      <formula>B18&gt;$AG18</formula>
    </cfRule>
  </conditionalFormatting>
  <conditionalFormatting sqref="B35:Y35">
    <cfRule type="expression" dxfId="1472" priority="77">
      <formula>B$9&gt;=20/24</formula>
    </cfRule>
    <cfRule type="expression" dxfId="1471" priority="78">
      <formula>AND(B$9&gt;=14/24,B$9&lt;20/24)</formula>
    </cfRule>
    <cfRule type="expression" dxfId="1470" priority="79">
      <formula>AND(B$9&gt;=8/24,B$9&lt;14/24)</formula>
    </cfRule>
    <cfRule type="expression" dxfId="1469" priority="80">
      <formula>B$9&lt;8/24</formula>
    </cfRule>
  </conditionalFormatting>
  <conditionalFormatting sqref="B15:L15">
    <cfRule type="expression" dxfId="1468" priority="73">
      <formula>B$9&gt;=20/24</formula>
    </cfRule>
    <cfRule type="expression" dxfId="1467" priority="74">
      <formula>AND(B$9&gt;=14/24,B$9&lt;20/24)</formula>
    </cfRule>
    <cfRule type="expression" dxfId="1466" priority="75">
      <formula>AND(B$9&gt;=8/24,B$9&lt;14/24)</formula>
    </cfRule>
    <cfRule type="expression" dxfId="1465" priority="76">
      <formula>B$9&lt;8/24</formula>
    </cfRule>
  </conditionalFormatting>
  <conditionalFormatting sqref="B34:Y34">
    <cfRule type="expression" dxfId="1464" priority="69">
      <formula>B$9&gt;=20/24</formula>
    </cfRule>
    <cfRule type="expression" dxfId="1463" priority="70">
      <formula>AND(B$9&gt;=14/24,B$9&lt;20/24)</formula>
    </cfRule>
    <cfRule type="expression" dxfId="1462" priority="71">
      <formula>AND(B$9&gt;=8/24,B$9&lt;14/24)</formula>
    </cfRule>
    <cfRule type="expression" dxfId="1461" priority="72">
      <formula>B$9&lt;8/24</formula>
    </cfRule>
  </conditionalFormatting>
  <conditionalFormatting sqref="B34:Y34">
    <cfRule type="expression" dxfId="1460" priority="68">
      <formula>B34&gt;$AG34</formula>
    </cfRule>
  </conditionalFormatting>
  <conditionalFormatting sqref="B48:D54">
    <cfRule type="expression" dxfId="1459" priority="64">
      <formula>B$9&gt;=20/24</formula>
    </cfRule>
    <cfRule type="expression" dxfId="1458" priority="65">
      <formula>AND(B$9&gt;=14/24,B$9&lt;20/24)</formula>
    </cfRule>
    <cfRule type="expression" dxfId="1457" priority="66">
      <formula>AND(B$9&gt;=8/24,B$9&lt;14/24)</formula>
    </cfRule>
    <cfRule type="expression" dxfId="1456" priority="67">
      <formula>B$9&lt;8/24</formula>
    </cfRule>
  </conditionalFormatting>
  <conditionalFormatting sqref="B48:D54">
    <cfRule type="expression" dxfId="1455" priority="63">
      <formula>B48&gt;$AG48</formula>
    </cfRule>
  </conditionalFormatting>
  <conditionalFormatting sqref="B27:Y27">
    <cfRule type="expression" dxfId="1454" priority="59">
      <formula>B$9&gt;=20/24</formula>
    </cfRule>
    <cfRule type="expression" dxfId="1453" priority="60">
      <formula>AND(B$9&gt;=14/24,B$9&lt;20/24)</formula>
    </cfRule>
    <cfRule type="expression" dxfId="1452" priority="61">
      <formula>AND(B$9&gt;=8/24,B$9&lt;14/24)</formula>
    </cfRule>
    <cfRule type="expression" dxfId="1451" priority="62">
      <formula>B$9&lt;8/24</formula>
    </cfRule>
  </conditionalFormatting>
  <conditionalFormatting sqref="B17:L17 B23:O23">
    <cfRule type="expression" dxfId="1450" priority="55">
      <formula>B$9&gt;=20/24</formula>
    </cfRule>
    <cfRule type="expression" dxfId="1449" priority="56">
      <formula>AND(B$9&gt;=14/24,B$9&lt;20/24)</formula>
    </cfRule>
    <cfRule type="expression" dxfId="1448" priority="57">
      <formula>AND(B$9&gt;=8/24,B$9&lt;14/24)</formula>
    </cfRule>
    <cfRule type="expression" dxfId="1447" priority="58">
      <formula>B$9&lt;8/24</formula>
    </cfRule>
  </conditionalFormatting>
  <conditionalFormatting sqref="B17:L17 B23:O23">
    <cfRule type="expression" dxfId="1446" priority="54">
      <formula>B17&gt;$AG17</formula>
    </cfRule>
  </conditionalFormatting>
  <conditionalFormatting sqref="A34">
    <cfRule type="expression" dxfId="1445" priority="53">
      <formula>$AH34=0</formula>
    </cfRule>
  </conditionalFormatting>
  <conditionalFormatting sqref="B72:AF72">
    <cfRule type="expression" dxfId="1444" priority="49">
      <formula>B$9&gt;=20/24</formula>
    </cfRule>
    <cfRule type="expression" dxfId="1443" priority="50">
      <formula>AND(B$9&gt;=14/24,B$9&lt;20/24)</formula>
    </cfRule>
    <cfRule type="expression" dxfId="1442" priority="51">
      <formula>AND(B$9&gt;=8/24,B$9&lt;14/24)</formula>
    </cfRule>
    <cfRule type="expression" dxfId="1441" priority="52">
      <formula>B$9&lt;8/24</formula>
    </cfRule>
  </conditionalFormatting>
  <conditionalFormatting sqref="B81:AF85">
    <cfRule type="expression" dxfId="1440" priority="45">
      <formula>B$9&gt;=20/24</formula>
    </cfRule>
    <cfRule type="expression" dxfId="1439" priority="46">
      <formula>AND(B$9&gt;=14/24,B$9&lt;20/24)</formula>
    </cfRule>
    <cfRule type="expression" dxfId="1438" priority="47">
      <formula>AND(B$9&gt;=8/24,B$9&lt;14/24)</formula>
    </cfRule>
    <cfRule type="expression" dxfId="1437" priority="48">
      <formula>B$9&lt;8/24</formula>
    </cfRule>
  </conditionalFormatting>
  <conditionalFormatting sqref="AL35 AL7:AL30 AL32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S39:AF41">
    <cfRule type="expression" dxfId="1436" priority="41">
      <formula>S$9&gt;=20/24</formula>
    </cfRule>
    <cfRule type="expression" dxfId="1435" priority="42">
      <formula>AND(S$9&gt;=14/24,S$9&lt;20/24)</formula>
    </cfRule>
    <cfRule type="expression" dxfId="1434" priority="43">
      <formula>AND(S$9&gt;=8/24,S$9&lt;14/24)</formula>
    </cfRule>
    <cfRule type="expression" dxfId="1433" priority="44">
      <formula>S$9&lt;8/24</formula>
    </cfRule>
  </conditionalFormatting>
  <conditionalFormatting sqref="S39:AF41">
    <cfRule type="expression" dxfId="1432" priority="40">
      <formula>S39&gt;$AG39</formula>
    </cfRule>
  </conditionalFormatting>
  <conditionalFormatting sqref="B39:B42 C42:AG42 C39:R41">
    <cfRule type="expression" dxfId="1431" priority="36">
      <formula>B$9&gt;=20/24</formula>
    </cfRule>
    <cfRule type="expression" dxfId="1430" priority="37">
      <formula>AND(B$9&gt;=14/24,B$9&lt;20/24)</formula>
    </cfRule>
    <cfRule type="expression" dxfId="1429" priority="38">
      <formula>AND(B$9&gt;=8/24,B$9&lt;14/24)</formula>
    </cfRule>
    <cfRule type="expression" dxfId="1428" priority="39">
      <formula>B$9&lt;8/24</formula>
    </cfRule>
  </conditionalFormatting>
  <conditionalFormatting sqref="B39:B42 C42:AG42 C39:R41">
    <cfRule type="expression" dxfId="1427" priority="35">
      <formula>B39&gt;$AG39</formula>
    </cfRule>
  </conditionalFormatting>
  <conditionalFormatting sqref="C97:AF97">
    <cfRule type="expression" dxfId="1426" priority="31">
      <formula>C$9&gt;=20/24</formula>
    </cfRule>
    <cfRule type="expression" dxfId="1425" priority="32">
      <formula>AND(C$9&gt;=14/24,C$9&lt;20/24)</formula>
    </cfRule>
    <cfRule type="expression" dxfId="1424" priority="33">
      <formula>AND(C$9&gt;=8/24,C$9&lt;14/24)</formula>
    </cfRule>
    <cfRule type="expression" dxfId="1423" priority="34">
      <formula>C$9&lt;8/24</formula>
    </cfRule>
  </conditionalFormatting>
  <conditionalFormatting sqref="B97">
    <cfRule type="expression" dxfId="1422" priority="27">
      <formula>B$9&gt;=20/24</formula>
    </cfRule>
    <cfRule type="expression" dxfId="1421" priority="28">
      <formula>AND(B$9&gt;=14/24,B$9&lt;20/24)</formula>
    </cfRule>
    <cfRule type="expression" dxfId="1420" priority="29">
      <formula>AND(B$9&gt;=8/24,B$9&lt;14/24)</formula>
    </cfRule>
    <cfRule type="expression" dxfId="1419" priority="30">
      <formula>B$9&lt;8/24</formula>
    </cfRule>
  </conditionalFormatting>
  <conditionalFormatting sqref="AL31">
    <cfRule type="iconSet" priority="2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418" priority="21">
      <formula>$AH31=0</formula>
    </cfRule>
  </conditionalFormatting>
  <conditionalFormatting sqref="A80">
    <cfRule type="expression" dxfId="1417" priority="19">
      <formula>$AH80=0</formula>
    </cfRule>
  </conditionalFormatting>
  <conditionalFormatting sqref="A77">
    <cfRule type="expression" dxfId="1416" priority="20">
      <formula>$AH77=0</formula>
    </cfRule>
  </conditionalFormatting>
  <conditionalFormatting sqref="A107">
    <cfRule type="expression" dxfId="1415" priority="10">
      <formula>$AH107=0</formula>
    </cfRule>
  </conditionalFormatting>
  <conditionalFormatting sqref="C100:AF100">
    <cfRule type="expression" dxfId="1414" priority="6">
      <formula>C$9&gt;=20/24</formula>
    </cfRule>
    <cfRule type="expression" dxfId="1413" priority="7">
      <formula>AND(C$9&gt;=14/24,C$9&lt;20/24)</formula>
    </cfRule>
    <cfRule type="expression" dxfId="1412" priority="8">
      <formula>AND(C$9&gt;=8/24,C$9&lt;14/24)</formula>
    </cfRule>
    <cfRule type="expression" dxfId="1411" priority="9">
      <formula>C$9&lt;8/24</formula>
    </cfRule>
  </conditionalFormatting>
  <conditionalFormatting sqref="A100">
    <cfRule type="expression" dxfId="1410" priority="5">
      <formula>$AH100=0</formula>
    </cfRule>
  </conditionalFormatting>
  <conditionalFormatting sqref="B100">
    <cfRule type="expression" dxfId="1409" priority="1">
      <formula>B$9&gt;=20/24</formula>
    </cfRule>
    <cfRule type="expression" dxfId="1408" priority="2">
      <formula>AND(B$9&gt;=14/24,B$9&lt;20/24)</formula>
    </cfRule>
    <cfRule type="expression" dxfId="1407" priority="3">
      <formula>AND(B$9&gt;=8/24,B$9&lt;14/24)</formula>
    </cfRule>
    <cfRule type="expression" dxfId="1406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6D8DB5F6-509D-4919-9FA9-35FEB63705A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67953CEF-AED9-4F20-BF86-A98899B09C3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id="{40833C13-47A9-4E01-89D3-E4C9CD5CA39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" id="{6A1A6CA8-AA20-4455-9154-37714B9E02E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5" id="{F2679CDB-F599-4A67-B8A8-57C9A309D9C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8F1EEDFD-B06C-42D7-A327-6409F6723DD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2536A126-7F56-4084-BC21-31199FF6465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FC8F4BC6-C604-4FF7-9F57-CCE3385EF8F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11" id="{AD1AB5CD-7C97-471B-826A-01728994230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72E19D7C-3FC4-48A7-B0E1-D5C0C6AEBB4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B5FCC557-F15A-4812-ACF1-0A136A0920C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" id="{93F787B1-C455-4F01-85F5-9BE946659CF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CJ494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B59" sqref="AB59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"2079/"&amp;"05/"&amp;INT(MID(CELL("filename",D6),FIND("]",CELL("filename",D6))+1,200))</f>
        <v>2079/05/29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5</v>
      </c>
      <c r="C5" s="205">
        <f t="shared" si="0"/>
        <v>5</v>
      </c>
      <c r="D5" s="205">
        <f t="shared" si="0"/>
        <v>5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22.5</v>
      </c>
      <c r="Y5" s="205">
        <f t="shared" si="0"/>
        <v>71.3</v>
      </c>
      <c r="Z5" s="205">
        <f t="shared" si="0"/>
        <v>43.71</v>
      </c>
      <c r="AA5" s="205">
        <f t="shared" si="0"/>
        <v>46</v>
      </c>
      <c r="AB5" s="205">
        <f t="shared" si="0"/>
        <v>28.65</v>
      </c>
      <c r="AC5" s="205">
        <f t="shared" si="0"/>
        <v>12</v>
      </c>
      <c r="AD5" s="205">
        <f t="shared" si="0"/>
        <v>4</v>
      </c>
      <c r="AE5" s="205">
        <f t="shared" si="0"/>
        <v>4</v>
      </c>
      <c r="AF5" s="205">
        <f>B72</f>
        <v>24.2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1799MW at 9:00hr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Load=1650</v>
      </c>
      <c r="B7" s="210">
        <f>B79</f>
        <v>1704.64</v>
      </c>
      <c r="C7" s="210">
        <f t="shared" ref="C7:AF7" si="1">C79</f>
        <v>1703.2400000000002</v>
      </c>
      <c r="D7" s="210">
        <f t="shared" si="1"/>
        <v>1655.0400000000002</v>
      </c>
      <c r="E7" s="210">
        <f t="shared" si="1"/>
        <v>1659.7400000000002</v>
      </c>
      <c r="F7" s="210">
        <f t="shared" si="1"/>
        <v>1669.6399999999999</v>
      </c>
      <c r="G7" s="210">
        <f t="shared" si="1"/>
        <v>1650.14</v>
      </c>
      <c r="H7" s="210">
        <f t="shared" si="1"/>
        <v>1687.14</v>
      </c>
      <c r="I7" s="210">
        <f t="shared" si="1"/>
        <v>1687.94</v>
      </c>
      <c r="J7" s="210">
        <f t="shared" si="1"/>
        <v>1740.54</v>
      </c>
      <c r="K7" s="210">
        <f t="shared" si="1"/>
        <v>1740.6399999999999</v>
      </c>
      <c r="L7" s="210">
        <f t="shared" si="1"/>
        <v>1785.94</v>
      </c>
      <c r="M7" s="210">
        <f t="shared" si="1"/>
        <v>1796.44</v>
      </c>
      <c r="N7" s="210">
        <f t="shared" si="1"/>
        <v>1798.64</v>
      </c>
      <c r="O7" s="210">
        <f t="shared" si="1"/>
        <v>1722.64</v>
      </c>
      <c r="P7" s="210">
        <f t="shared" si="1"/>
        <v>1798.64</v>
      </c>
      <c r="Q7" s="210">
        <f t="shared" si="1"/>
        <v>1778.64</v>
      </c>
      <c r="R7" s="210">
        <f t="shared" si="1"/>
        <v>1746.94</v>
      </c>
      <c r="S7" s="210">
        <f t="shared" si="1"/>
        <v>1735.54</v>
      </c>
      <c r="T7" s="210">
        <f t="shared" si="1"/>
        <v>1745.1399999999999</v>
      </c>
      <c r="U7" s="210">
        <f t="shared" si="1"/>
        <v>1791.7399999999998</v>
      </c>
      <c r="V7" s="210">
        <f t="shared" si="1"/>
        <v>1771.74</v>
      </c>
      <c r="W7" s="210">
        <f t="shared" si="1"/>
        <v>1756.6399999999999</v>
      </c>
      <c r="X7" s="210">
        <f t="shared" si="1"/>
        <v>1756.54</v>
      </c>
      <c r="Y7" s="210">
        <f t="shared" si="1"/>
        <v>1779.04</v>
      </c>
      <c r="Z7" s="210">
        <f t="shared" si="1"/>
        <v>1834.44</v>
      </c>
      <c r="AA7" s="210">
        <f t="shared" si="1"/>
        <v>1824.55</v>
      </c>
      <c r="AB7" s="210">
        <f t="shared" si="1"/>
        <v>1825.74</v>
      </c>
      <c r="AC7" s="210">
        <f t="shared" si="1"/>
        <v>1807.39</v>
      </c>
      <c r="AD7" s="210">
        <f t="shared" si="1"/>
        <v>1790.74</v>
      </c>
      <c r="AE7" s="210">
        <f t="shared" si="1"/>
        <v>1741.14</v>
      </c>
      <c r="AF7" s="210">
        <f t="shared" si="1"/>
        <v>1720.14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52.9</v>
      </c>
      <c r="C11" s="221">
        <v>52.9</v>
      </c>
      <c r="D11" s="221">
        <v>52.9</v>
      </c>
      <c r="E11" s="221">
        <v>52.9</v>
      </c>
      <c r="F11" s="221">
        <v>52.9</v>
      </c>
      <c r="G11" s="221">
        <v>52.9</v>
      </c>
      <c r="H11" s="221">
        <v>52.9</v>
      </c>
      <c r="I11" s="221">
        <v>52.9</v>
      </c>
      <c r="J11" s="221">
        <v>52.9</v>
      </c>
      <c r="K11" s="221">
        <v>52.9</v>
      </c>
      <c r="L11" s="221">
        <v>52.9</v>
      </c>
      <c r="M11" s="221">
        <v>52.9</v>
      </c>
      <c r="N11" s="221">
        <v>52.9</v>
      </c>
      <c r="O11" s="221">
        <v>52.9</v>
      </c>
      <c r="P11" s="221">
        <v>52.9</v>
      </c>
      <c r="Q11" s="221">
        <v>52.9</v>
      </c>
      <c r="R11" s="221">
        <v>52.9</v>
      </c>
      <c r="S11" s="224">
        <v>52.8</v>
      </c>
      <c r="T11" s="224">
        <v>52.8</v>
      </c>
      <c r="U11" s="224">
        <v>52.8</v>
      </c>
      <c r="V11" s="224">
        <v>52.8</v>
      </c>
      <c r="W11" s="224">
        <v>52.8</v>
      </c>
      <c r="X11" s="224">
        <v>52.8</v>
      </c>
      <c r="Y11" s="224">
        <v>52.8</v>
      </c>
      <c r="Z11" s="224">
        <v>52.9</v>
      </c>
      <c r="AA11" s="224">
        <v>52.9</v>
      </c>
      <c r="AB11" s="224">
        <v>52.8</v>
      </c>
      <c r="AC11" s="224">
        <v>52.8</v>
      </c>
      <c r="AD11" s="224">
        <v>52.8</v>
      </c>
      <c r="AE11" s="224">
        <v>52.8</v>
      </c>
      <c r="AF11" s="224">
        <v>52.8</v>
      </c>
      <c r="AG11" s="225">
        <v>52.4</v>
      </c>
      <c r="AH11" s="226">
        <f>MAX(B11:AF11)</f>
        <v>52.9</v>
      </c>
      <c r="AI11" s="227">
        <f>MIN(B11:AF11)</f>
        <v>52.8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50.4</v>
      </c>
      <c r="C12" s="221">
        <v>50.4</v>
      </c>
      <c r="D12" s="221">
        <v>50.4</v>
      </c>
      <c r="E12" s="221">
        <v>50.4</v>
      </c>
      <c r="F12" s="221">
        <v>50.3</v>
      </c>
      <c r="G12" s="221">
        <v>50.3</v>
      </c>
      <c r="H12" s="221">
        <v>50.3</v>
      </c>
      <c r="I12" s="221">
        <v>50.3</v>
      </c>
      <c r="J12" s="221">
        <v>50.3</v>
      </c>
      <c r="K12" s="221">
        <v>50.3</v>
      </c>
      <c r="L12" s="221">
        <v>50.3</v>
      </c>
      <c r="M12" s="221">
        <v>50.3</v>
      </c>
      <c r="N12" s="221">
        <v>50.3</v>
      </c>
      <c r="O12" s="221">
        <v>50.3</v>
      </c>
      <c r="P12" s="221">
        <v>50.3</v>
      </c>
      <c r="Q12" s="221">
        <v>50.3</v>
      </c>
      <c r="R12" s="221">
        <v>50.3</v>
      </c>
      <c r="S12" s="221">
        <v>50.6</v>
      </c>
      <c r="T12" s="221">
        <v>50.6</v>
      </c>
      <c r="U12" s="221">
        <v>50.6</v>
      </c>
      <c r="V12" s="221">
        <v>50.6</v>
      </c>
      <c r="W12" s="221">
        <v>50.6</v>
      </c>
      <c r="X12" s="221">
        <v>50.6</v>
      </c>
      <c r="Y12" s="221">
        <v>50.6</v>
      </c>
      <c r="Z12" s="221">
        <v>50.2</v>
      </c>
      <c r="AA12" s="221">
        <v>50.2</v>
      </c>
      <c r="AB12" s="221">
        <v>50.2</v>
      </c>
      <c r="AC12" s="221">
        <v>50.2</v>
      </c>
      <c r="AD12" s="221">
        <v>50.2</v>
      </c>
      <c r="AE12" s="221">
        <v>50.2</v>
      </c>
      <c r="AF12" s="221">
        <v>50.2</v>
      </c>
      <c r="AG12" s="229">
        <v>50</v>
      </c>
      <c r="AH12" s="226">
        <f t="shared" ref="AH12:AH79" si="2">MAX(B12:AF12)</f>
        <v>50.6</v>
      </c>
      <c r="AI12" s="227">
        <f t="shared" ref="AI12:AI79" si="3">MIN(B12:AF12)</f>
        <v>50.2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30</v>
      </c>
      <c r="C13" s="221">
        <v>30</v>
      </c>
      <c r="D13" s="221">
        <v>30</v>
      </c>
      <c r="E13" s="221">
        <v>45.9</v>
      </c>
      <c r="F13" s="221">
        <v>45.9</v>
      </c>
      <c r="G13" s="221">
        <v>45.9</v>
      </c>
      <c r="H13" s="221">
        <v>45.9</v>
      </c>
      <c r="I13" s="221">
        <v>45.9</v>
      </c>
      <c r="J13" s="221">
        <v>45.9</v>
      </c>
      <c r="K13" s="221">
        <v>45.9</v>
      </c>
      <c r="L13" s="221">
        <v>45.9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46</v>
      </c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30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30</v>
      </c>
      <c r="C14" s="221">
        <v>35</v>
      </c>
      <c r="D14" s="221">
        <v>28</v>
      </c>
      <c r="E14" s="221">
        <v>28</v>
      </c>
      <c r="F14" s="221">
        <v>28</v>
      </c>
      <c r="G14" s="221">
        <v>28</v>
      </c>
      <c r="H14" s="221">
        <v>28</v>
      </c>
      <c r="I14" s="221">
        <v>28</v>
      </c>
      <c r="J14" s="221">
        <v>28</v>
      </c>
      <c r="K14" s="221">
        <v>28</v>
      </c>
      <c r="L14" s="221">
        <v>35</v>
      </c>
      <c r="M14" s="221">
        <v>35</v>
      </c>
      <c r="N14" s="221">
        <v>35</v>
      </c>
      <c r="O14" s="221">
        <v>35</v>
      </c>
      <c r="P14" s="221">
        <v>35</v>
      </c>
      <c r="Q14" s="221">
        <v>30</v>
      </c>
      <c r="R14" s="221">
        <v>30</v>
      </c>
      <c r="S14" s="221">
        <v>34</v>
      </c>
      <c r="T14" s="221">
        <v>34</v>
      </c>
      <c r="U14" s="221">
        <v>34</v>
      </c>
      <c r="V14" s="221">
        <v>30</v>
      </c>
      <c r="W14" s="221">
        <v>30</v>
      </c>
      <c r="X14" s="221">
        <v>30</v>
      </c>
      <c r="Y14" s="221">
        <v>30</v>
      </c>
      <c r="Z14" s="221">
        <v>30</v>
      </c>
      <c r="AA14" s="221">
        <v>30</v>
      </c>
      <c r="AB14" s="221">
        <v>30</v>
      </c>
      <c r="AC14" s="221">
        <v>30</v>
      </c>
      <c r="AD14" s="221">
        <v>30</v>
      </c>
      <c r="AE14" s="221">
        <v>10</v>
      </c>
      <c r="AF14" s="221">
        <v>0</v>
      </c>
      <c r="AG14" s="229">
        <v>42</v>
      </c>
      <c r="AH14" s="226">
        <f t="shared" si="2"/>
        <v>35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10</v>
      </c>
      <c r="K15" s="221">
        <v>10</v>
      </c>
      <c r="L15" s="221">
        <v>30</v>
      </c>
      <c r="M15" s="221">
        <v>30</v>
      </c>
      <c r="N15" s="221">
        <v>30</v>
      </c>
      <c r="O15" s="221">
        <v>30</v>
      </c>
      <c r="P15" s="221">
        <v>30</v>
      </c>
      <c r="Q15" s="221">
        <v>20</v>
      </c>
      <c r="R15" s="221">
        <v>20</v>
      </c>
      <c r="S15" s="221">
        <v>30</v>
      </c>
      <c r="T15" s="221">
        <v>30</v>
      </c>
      <c r="U15" s="221">
        <v>30</v>
      </c>
      <c r="V15" s="221">
        <v>20</v>
      </c>
      <c r="W15" s="221">
        <v>15</v>
      </c>
      <c r="X15" s="221">
        <v>15</v>
      </c>
      <c r="Y15" s="221">
        <v>15</v>
      </c>
      <c r="Z15" s="221">
        <v>29.4</v>
      </c>
      <c r="AA15" s="221">
        <v>29.4</v>
      </c>
      <c r="AB15" s="221">
        <v>29.4</v>
      </c>
      <c r="AC15" s="221">
        <v>29.4</v>
      </c>
      <c r="AD15" s="221">
        <v>29.4</v>
      </c>
      <c r="AE15" s="221">
        <v>27</v>
      </c>
      <c r="AF15" s="221">
        <v>27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25.1</v>
      </c>
      <c r="C16" s="221">
        <v>25.1</v>
      </c>
      <c r="D16" s="221">
        <v>25.1</v>
      </c>
      <c r="E16" s="221">
        <v>25.1</v>
      </c>
      <c r="F16" s="221">
        <v>25.1</v>
      </c>
      <c r="G16" s="221">
        <v>25.1</v>
      </c>
      <c r="H16" s="221">
        <v>25.1</v>
      </c>
      <c r="I16" s="221">
        <v>25.1</v>
      </c>
      <c r="J16" s="221">
        <v>25.1</v>
      </c>
      <c r="K16" s="221">
        <v>25.1</v>
      </c>
      <c r="L16" s="221">
        <v>25.1</v>
      </c>
      <c r="M16" s="221">
        <v>25.1</v>
      </c>
      <c r="N16" s="221">
        <v>25.1</v>
      </c>
      <c r="O16" s="221">
        <v>25.1</v>
      </c>
      <c r="P16" s="221">
        <v>25.1</v>
      </c>
      <c r="Q16" s="221">
        <v>25.1</v>
      </c>
      <c r="R16" s="221">
        <v>25.1</v>
      </c>
      <c r="S16" s="221">
        <v>26</v>
      </c>
      <c r="T16" s="221">
        <v>26</v>
      </c>
      <c r="U16" s="221">
        <v>26</v>
      </c>
      <c r="V16" s="221">
        <v>26</v>
      </c>
      <c r="W16" s="221">
        <v>26</v>
      </c>
      <c r="X16" s="221">
        <v>26</v>
      </c>
      <c r="Y16" s="221">
        <v>26</v>
      </c>
      <c r="Z16" s="221">
        <v>26</v>
      </c>
      <c r="AA16" s="221">
        <v>26</v>
      </c>
      <c r="AB16" s="221">
        <v>26</v>
      </c>
      <c r="AC16" s="221">
        <v>26</v>
      </c>
      <c r="AD16" s="221">
        <v>26</v>
      </c>
      <c r="AE16" s="221">
        <v>26</v>
      </c>
      <c r="AF16" s="221">
        <v>26</v>
      </c>
      <c r="AG16" s="229">
        <v>25</v>
      </c>
      <c r="AH16" s="226">
        <f t="shared" si="2"/>
        <v>26</v>
      </c>
      <c r="AI16" s="227">
        <f t="shared" si="3"/>
        <v>25.1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22</v>
      </c>
      <c r="C17" s="221">
        <v>22</v>
      </c>
      <c r="D17" s="221">
        <v>22</v>
      </c>
      <c r="E17" s="221">
        <v>22</v>
      </c>
      <c r="F17" s="221">
        <v>22</v>
      </c>
      <c r="G17" s="221">
        <v>22</v>
      </c>
      <c r="H17" s="221">
        <v>22</v>
      </c>
      <c r="I17" s="221">
        <v>22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23</v>
      </c>
      <c r="AG17" s="229">
        <v>25</v>
      </c>
      <c r="AH17" s="226">
        <f t="shared" si="2"/>
        <v>25</v>
      </c>
      <c r="AI17" s="227">
        <f t="shared" si="3"/>
        <v>22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22</v>
      </c>
      <c r="C18" s="221">
        <v>22</v>
      </c>
      <c r="D18" s="221">
        <v>22</v>
      </c>
      <c r="E18" s="221">
        <v>22</v>
      </c>
      <c r="F18" s="221">
        <v>22</v>
      </c>
      <c r="G18" s="221">
        <v>22</v>
      </c>
      <c r="H18" s="221">
        <v>22</v>
      </c>
      <c r="I18" s="221">
        <v>22</v>
      </c>
      <c r="J18" s="221">
        <v>22</v>
      </c>
      <c r="K18" s="221">
        <v>22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22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25</v>
      </c>
      <c r="C19" s="221">
        <v>25</v>
      </c>
      <c r="D19" s="221">
        <v>25</v>
      </c>
      <c r="E19" s="221">
        <v>23.1</v>
      </c>
      <c r="F19" s="221">
        <v>23.1</v>
      </c>
      <c r="G19" s="221">
        <v>23.1</v>
      </c>
      <c r="H19" s="221">
        <v>23.1</v>
      </c>
      <c r="I19" s="221">
        <v>23.1</v>
      </c>
      <c r="J19" s="221">
        <v>23.1</v>
      </c>
      <c r="K19" s="221">
        <v>23.1</v>
      </c>
      <c r="L19" s="221">
        <v>32.200000000000003</v>
      </c>
      <c r="M19" s="221">
        <v>32.200000000000003</v>
      </c>
      <c r="N19" s="221">
        <v>32.200000000000003</v>
      </c>
      <c r="O19" s="221">
        <v>32.200000000000003</v>
      </c>
      <c r="P19" s="221">
        <v>32.200000000000003</v>
      </c>
      <c r="Q19" s="221">
        <v>32.200000000000003</v>
      </c>
      <c r="R19" s="221">
        <v>32.200000000000003</v>
      </c>
      <c r="S19" s="221">
        <v>33.299999999999997</v>
      </c>
      <c r="T19" s="221">
        <v>33.299999999999997</v>
      </c>
      <c r="U19" s="221">
        <v>33.299999999999997</v>
      </c>
      <c r="V19" s="221">
        <v>25</v>
      </c>
      <c r="W19" s="221">
        <v>25</v>
      </c>
      <c r="X19" s="221">
        <v>25</v>
      </c>
      <c r="Y19" s="221">
        <v>25</v>
      </c>
      <c r="Z19" s="221">
        <v>33.200000000000003</v>
      </c>
      <c r="AA19" s="221">
        <v>33.200000000000003</v>
      </c>
      <c r="AB19" s="221">
        <v>33.200000000000003</v>
      </c>
      <c r="AC19" s="221">
        <v>33.200000000000003</v>
      </c>
      <c r="AD19" s="221">
        <v>33.200000000000003</v>
      </c>
      <c r="AE19" s="221">
        <v>24</v>
      </c>
      <c r="AF19" s="221">
        <v>24</v>
      </c>
      <c r="AG19" s="229">
        <v>24.2</v>
      </c>
      <c r="AH19" s="226">
        <f t="shared" si="2"/>
        <v>33.299999999999997</v>
      </c>
      <c r="AI19" s="227">
        <f t="shared" si="3"/>
        <v>23.1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23.5</v>
      </c>
      <c r="C20" s="221">
        <v>23.5</v>
      </c>
      <c r="D20" s="221">
        <v>23.5</v>
      </c>
      <c r="E20" s="221">
        <v>23.5</v>
      </c>
      <c r="F20" s="221">
        <v>23.5</v>
      </c>
      <c r="G20" s="221">
        <v>23.5</v>
      </c>
      <c r="H20" s="221">
        <v>23.5</v>
      </c>
      <c r="I20" s="221">
        <v>23.5</v>
      </c>
      <c r="J20" s="221">
        <v>23.5</v>
      </c>
      <c r="K20" s="221">
        <v>23.5</v>
      </c>
      <c r="L20" s="221">
        <v>23.5</v>
      </c>
      <c r="M20" s="221">
        <v>23.5</v>
      </c>
      <c r="N20" s="221">
        <v>23.5</v>
      </c>
      <c r="O20" s="221">
        <v>23.5</v>
      </c>
      <c r="P20" s="221">
        <v>23.5</v>
      </c>
      <c r="Q20" s="221">
        <v>23.5</v>
      </c>
      <c r="R20" s="221">
        <v>23.5</v>
      </c>
      <c r="S20" s="221">
        <v>23.4</v>
      </c>
      <c r="T20" s="221">
        <v>23.4</v>
      </c>
      <c r="U20" s="221">
        <v>23.4</v>
      </c>
      <c r="V20" s="221">
        <v>23.4</v>
      </c>
      <c r="W20" s="221">
        <v>23.4</v>
      </c>
      <c r="X20" s="221">
        <v>23.4</v>
      </c>
      <c r="Y20" s="221">
        <v>23.4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23.5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20</v>
      </c>
      <c r="O22" s="221">
        <v>20</v>
      </c>
      <c r="P22" s="221">
        <v>20</v>
      </c>
      <c r="Q22" s="221">
        <v>20</v>
      </c>
      <c r="R22" s="221">
        <v>20</v>
      </c>
      <c r="S22" s="221">
        <v>20</v>
      </c>
      <c r="T22" s="221">
        <v>20</v>
      </c>
      <c r="U22" s="221">
        <v>20</v>
      </c>
      <c r="V22" s="221">
        <v>20</v>
      </c>
      <c r="W22" s="221">
        <v>20</v>
      </c>
      <c r="X22" s="221">
        <v>20</v>
      </c>
      <c r="Y22" s="221">
        <v>20</v>
      </c>
      <c r="Z22" s="221">
        <v>20</v>
      </c>
      <c r="AA22" s="221">
        <v>20</v>
      </c>
      <c r="AB22" s="221">
        <v>20</v>
      </c>
      <c r="AC22" s="221">
        <v>20</v>
      </c>
      <c r="AD22" s="221">
        <v>20</v>
      </c>
      <c r="AE22" s="221">
        <v>20</v>
      </c>
      <c r="AF22" s="221">
        <v>20</v>
      </c>
      <c r="AG22" s="229">
        <v>22.1</v>
      </c>
      <c r="AH22" s="226">
        <f t="shared" si="2"/>
        <v>20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20</v>
      </c>
      <c r="C23" s="221">
        <v>20</v>
      </c>
      <c r="D23" s="221">
        <v>20</v>
      </c>
      <c r="E23" s="221">
        <v>20</v>
      </c>
      <c r="F23" s="221">
        <v>20</v>
      </c>
      <c r="G23" s="221">
        <v>20</v>
      </c>
      <c r="H23" s="221">
        <v>20</v>
      </c>
      <c r="I23" s="221">
        <v>20</v>
      </c>
      <c r="J23" s="221">
        <v>20</v>
      </c>
      <c r="K23" s="221">
        <v>20</v>
      </c>
      <c r="L23" s="221">
        <v>20</v>
      </c>
      <c r="M23" s="221">
        <v>20</v>
      </c>
      <c r="N23" s="221">
        <v>20</v>
      </c>
      <c r="O23" s="221">
        <v>20</v>
      </c>
      <c r="P23" s="221">
        <v>20</v>
      </c>
      <c r="Q23" s="221">
        <v>20</v>
      </c>
      <c r="R23" s="221">
        <v>20</v>
      </c>
      <c r="S23" s="221">
        <v>20</v>
      </c>
      <c r="T23" s="221">
        <v>20</v>
      </c>
      <c r="U23" s="221">
        <v>20</v>
      </c>
      <c r="V23" s="221">
        <v>20</v>
      </c>
      <c r="W23" s="221">
        <v>20</v>
      </c>
      <c r="X23" s="221">
        <v>20</v>
      </c>
      <c r="Y23" s="221">
        <v>20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20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>
        <v>20</v>
      </c>
      <c r="F24" s="221">
        <v>20</v>
      </c>
      <c r="G24" s="221">
        <v>20</v>
      </c>
      <c r="H24" s="221">
        <v>20</v>
      </c>
      <c r="I24" s="221">
        <v>20</v>
      </c>
      <c r="J24" s="221">
        <v>20</v>
      </c>
      <c r="K24" s="221">
        <v>20</v>
      </c>
      <c r="L24" s="221">
        <v>20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>
        <v>20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19</v>
      </c>
      <c r="AC24" s="221">
        <v>18</v>
      </c>
      <c r="AD24" s="221">
        <v>18</v>
      </c>
      <c r="AE24" s="221">
        <v>18</v>
      </c>
      <c r="AF24" s="221">
        <v>18</v>
      </c>
      <c r="AG24" s="229">
        <v>22</v>
      </c>
      <c r="AH24" s="226">
        <f t="shared" si="2"/>
        <v>20</v>
      </c>
      <c r="AI24" s="227">
        <f t="shared" si="3"/>
        <v>18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5</v>
      </c>
      <c r="K25" s="221">
        <v>5</v>
      </c>
      <c r="L25" s="221">
        <v>10</v>
      </c>
      <c r="M25" s="221">
        <v>15</v>
      </c>
      <c r="N25" s="221">
        <v>15</v>
      </c>
      <c r="O25" s="221">
        <v>15</v>
      </c>
      <c r="P25" s="221">
        <v>15</v>
      </c>
      <c r="Q25" s="221">
        <v>10</v>
      </c>
      <c r="R25" s="221">
        <v>10</v>
      </c>
      <c r="S25" s="221">
        <v>10</v>
      </c>
      <c r="T25" s="221">
        <v>10</v>
      </c>
      <c r="U25" s="221">
        <v>10</v>
      </c>
      <c r="V25" s="221">
        <v>15</v>
      </c>
      <c r="W25" s="221">
        <v>15</v>
      </c>
      <c r="X25" s="221">
        <v>15</v>
      </c>
      <c r="Y25" s="221">
        <v>15</v>
      </c>
      <c r="Z25" s="221">
        <v>15</v>
      </c>
      <c r="AA25" s="221">
        <v>15</v>
      </c>
      <c r="AB25" s="221">
        <v>15</v>
      </c>
      <c r="AC25" s="221">
        <v>15</v>
      </c>
      <c r="AD25" s="221">
        <v>15</v>
      </c>
      <c r="AE25" s="221">
        <v>5</v>
      </c>
      <c r="AF25" s="221">
        <v>0</v>
      </c>
      <c r="AG25" s="229">
        <v>20</v>
      </c>
      <c r="AH25" s="226">
        <f t="shared" si="2"/>
        <v>15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</v>
      </c>
      <c r="C26" s="221">
        <v>14</v>
      </c>
      <c r="D26" s="221">
        <v>14</v>
      </c>
      <c r="E26" s="221">
        <v>14</v>
      </c>
      <c r="F26" s="221">
        <v>14</v>
      </c>
      <c r="G26" s="221">
        <v>14</v>
      </c>
      <c r="H26" s="221">
        <v>14</v>
      </c>
      <c r="I26" s="221">
        <v>14</v>
      </c>
      <c r="J26" s="221">
        <v>14</v>
      </c>
      <c r="K26" s="221">
        <v>14</v>
      </c>
      <c r="L26" s="221">
        <v>14</v>
      </c>
      <c r="M26" s="221">
        <v>14</v>
      </c>
      <c r="N26" s="221">
        <v>14</v>
      </c>
      <c r="O26" s="221">
        <v>14</v>
      </c>
      <c r="P26" s="221">
        <v>14</v>
      </c>
      <c r="Q26" s="221">
        <v>14</v>
      </c>
      <c r="R26" s="221">
        <v>14</v>
      </c>
      <c r="S26" s="221">
        <v>14</v>
      </c>
      <c r="T26" s="221">
        <v>14</v>
      </c>
      <c r="U26" s="221">
        <v>14</v>
      </c>
      <c r="V26" s="221">
        <v>14</v>
      </c>
      <c r="W26" s="221">
        <v>14</v>
      </c>
      <c r="X26" s="221">
        <v>14</v>
      </c>
      <c r="Y26" s="221">
        <v>14</v>
      </c>
      <c r="Z26" s="221">
        <v>14</v>
      </c>
      <c r="AA26" s="221">
        <v>14</v>
      </c>
      <c r="AB26" s="221">
        <v>14</v>
      </c>
      <c r="AC26" s="221">
        <v>14</v>
      </c>
      <c r="AD26" s="221">
        <v>14</v>
      </c>
      <c r="AE26" s="221">
        <v>14</v>
      </c>
      <c r="AF26" s="221">
        <v>14</v>
      </c>
      <c r="AG26" s="229">
        <v>14.9</v>
      </c>
      <c r="AH26" s="226">
        <f t="shared" si="2"/>
        <v>14</v>
      </c>
      <c r="AI26" s="227">
        <f t="shared" si="3"/>
        <v>14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6</v>
      </c>
      <c r="C27" s="221">
        <v>6</v>
      </c>
      <c r="D27" s="221">
        <v>6</v>
      </c>
      <c r="E27" s="221">
        <v>6</v>
      </c>
      <c r="F27" s="221">
        <v>6</v>
      </c>
      <c r="G27" s="221">
        <v>6</v>
      </c>
      <c r="H27" s="221">
        <v>6</v>
      </c>
      <c r="I27" s="221">
        <v>6</v>
      </c>
      <c r="J27" s="221">
        <v>6</v>
      </c>
      <c r="K27" s="221">
        <v>6</v>
      </c>
      <c r="L27" s="221">
        <v>6</v>
      </c>
      <c r="M27" s="221">
        <v>6</v>
      </c>
      <c r="N27" s="221">
        <v>6</v>
      </c>
      <c r="O27" s="221">
        <v>6</v>
      </c>
      <c r="P27" s="221">
        <v>6</v>
      </c>
      <c r="Q27" s="221">
        <v>6</v>
      </c>
      <c r="R27" s="221">
        <v>6</v>
      </c>
      <c r="S27" s="221">
        <v>6</v>
      </c>
      <c r="T27" s="221">
        <v>6</v>
      </c>
      <c r="U27" s="221">
        <v>6</v>
      </c>
      <c r="V27" s="221">
        <v>6</v>
      </c>
      <c r="W27" s="221">
        <v>6</v>
      </c>
      <c r="X27" s="221">
        <v>6</v>
      </c>
      <c r="Y27" s="221">
        <v>6</v>
      </c>
      <c r="Z27" s="221">
        <v>6</v>
      </c>
      <c r="AA27" s="221">
        <v>6</v>
      </c>
      <c r="AB27" s="221">
        <v>6</v>
      </c>
      <c r="AC27" s="221">
        <v>6</v>
      </c>
      <c r="AD27" s="221">
        <v>6</v>
      </c>
      <c r="AE27" s="221">
        <v>6</v>
      </c>
      <c r="AF27" s="221">
        <v>6</v>
      </c>
      <c r="AG27" s="229">
        <v>13.6</v>
      </c>
      <c r="AH27" s="226">
        <f t="shared" si="2"/>
        <v>6</v>
      </c>
      <c r="AI27" s="227">
        <f t="shared" si="3"/>
        <v>6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8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8</v>
      </c>
      <c r="K29" s="221">
        <v>8</v>
      </c>
      <c r="L29" s="221">
        <v>8</v>
      </c>
      <c r="M29" s="221">
        <v>8</v>
      </c>
      <c r="N29" s="221">
        <v>8</v>
      </c>
      <c r="O29" s="221">
        <v>8</v>
      </c>
      <c r="P29" s="221">
        <v>8</v>
      </c>
      <c r="Q29" s="221">
        <v>8</v>
      </c>
      <c r="R29" s="221">
        <v>8</v>
      </c>
      <c r="S29" s="221">
        <v>8</v>
      </c>
      <c r="T29" s="221">
        <v>8</v>
      </c>
      <c r="U29" s="221">
        <v>8</v>
      </c>
      <c r="V29" s="221">
        <v>8</v>
      </c>
      <c r="W29" s="221">
        <v>8</v>
      </c>
      <c r="X29" s="221">
        <v>8</v>
      </c>
      <c r="Y29" s="221">
        <v>8</v>
      </c>
      <c r="Z29" s="221">
        <v>8</v>
      </c>
      <c r="AA29" s="221">
        <v>8</v>
      </c>
      <c r="AB29" s="221">
        <v>8</v>
      </c>
      <c r="AC29" s="221">
        <v>8</v>
      </c>
      <c r="AD29" s="221">
        <v>8</v>
      </c>
      <c r="AE29" s="221">
        <v>8</v>
      </c>
      <c r="AF29" s="221">
        <v>8</v>
      </c>
      <c r="AG29" s="229">
        <v>12</v>
      </c>
      <c r="AH29" s="226">
        <f t="shared" si="2"/>
        <v>8</v>
      </c>
      <c r="AI29" s="227">
        <f t="shared" si="3"/>
        <v>8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10</v>
      </c>
      <c r="C31" s="221">
        <v>10</v>
      </c>
      <c r="D31" s="221">
        <v>10</v>
      </c>
      <c r="E31" s="221">
        <v>10</v>
      </c>
      <c r="F31" s="221">
        <v>10</v>
      </c>
      <c r="G31" s="221">
        <v>10</v>
      </c>
      <c r="H31" s="221">
        <v>10</v>
      </c>
      <c r="I31" s="221">
        <v>10</v>
      </c>
      <c r="J31" s="221">
        <v>10</v>
      </c>
      <c r="K31" s="221">
        <v>10</v>
      </c>
      <c r="L31" s="221">
        <v>10</v>
      </c>
      <c r="M31" s="221">
        <v>10</v>
      </c>
      <c r="N31" s="221">
        <v>10</v>
      </c>
      <c r="O31" s="221">
        <v>10</v>
      </c>
      <c r="P31" s="221">
        <v>10</v>
      </c>
      <c r="Q31" s="221">
        <v>10</v>
      </c>
      <c r="R31" s="221">
        <v>10</v>
      </c>
      <c r="S31" s="221">
        <v>10</v>
      </c>
      <c r="T31" s="221">
        <v>10</v>
      </c>
      <c r="U31" s="221">
        <v>10</v>
      </c>
      <c r="V31" s="221">
        <v>10</v>
      </c>
      <c r="W31" s="221">
        <v>10</v>
      </c>
      <c r="X31" s="221">
        <v>10</v>
      </c>
      <c r="Y31" s="221">
        <v>10</v>
      </c>
      <c r="Z31" s="221">
        <v>10</v>
      </c>
      <c r="AA31" s="221">
        <v>10</v>
      </c>
      <c r="AB31" s="221">
        <v>10</v>
      </c>
      <c r="AC31" s="221">
        <v>10</v>
      </c>
      <c r="AD31" s="221">
        <v>10</v>
      </c>
      <c r="AE31" s="221">
        <v>10</v>
      </c>
      <c r="AF31" s="221">
        <v>10</v>
      </c>
      <c r="AG31" s="231">
        <v>22</v>
      </c>
      <c r="AH31" s="226">
        <f>MAX(B31:AF31)</f>
        <v>10</v>
      </c>
      <c r="AI31" s="227">
        <f>MIN(B31:AF31)</f>
        <v>10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>
        <v>11</v>
      </c>
      <c r="F32" s="221">
        <v>11</v>
      </c>
      <c r="G32" s="221">
        <v>11</v>
      </c>
      <c r="H32" s="221">
        <v>11</v>
      </c>
      <c r="I32" s="221">
        <v>11</v>
      </c>
      <c r="J32" s="221">
        <v>11</v>
      </c>
      <c r="K32" s="221">
        <v>11</v>
      </c>
      <c r="L32" s="221">
        <v>11</v>
      </c>
      <c r="M32" s="221">
        <v>11</v>
      </c>
      <c r="N32" s="221">
        <v>11</v>
      </c>
      <c r="O32" s="221">
        <v>11</v>
      </c>
      <c r="P32" s="221">
        <v>11</v>
      </c>
      <c r="Q32" s="221">
        <v>11</v>
      </c>
      <c r="R32" s="221">
        <v>11</v>
      </c>
      <c r="S32" s="221">
        <v>11</v>
      </c>
      <c r="T32" s="221">
        <v>11</v>
      </c>
      <c r="U32" s="221">
        <v>11</v>
      </c>
      <c r="V32" s="221">
        <v>11</v>
      </c>
      <c r="W32" s="221">
        <v>11</v>
      </c>
      <c r="X32" s="221">
        <v>11</v>
      </c>
      <c r="Y32" s="221">
        <v>11</v>
      </c>
      <c r="Z32" s="221">
        <v>11</v>
      </c>
      <c r="AA32" s="221">
        <v>11</v>
      </c>
      <c r="AB32" s="221">
        <v>11</v>
      </c>
      <c r="AC32" s="221">
        <v>11</v>
      </c>
      <c r="AD32" s="221">
        <v>11</v>
      </c>
      <c r="AE32" s="221">
        <v>11</v>
      </c>
      <c r="AF32" s="221">
        <v>11</v>
      </c>
      <c r="AG32" s="230">
        <v>11.88</v>
      </c>
      <c r="AH32" s="226">
        <f t="shared" si="2"/>
        <v>11</v>
      </c>
      <c r="AI32" s="227">
        <f t="shared" si="3"/>
        <v>11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9</v>
      </c>
      <c r="D34" s="221">
        <v>9</v>
      </c>
      <c r="E34" s="221">
        <v>9</v>
      </c>
      <c r="F34" s="221">
        <v>9</v>
      </c>
      <c r="G34" s="221">
        <v>9</v>
      </c>
      <c r="H34" s="221">
        <v>9</v>
      </c>
      <c r="I34" s="221">
        <v>9</v>
      </c>
      <c r="J34" s="221">
        <v>9</v>
      </c>
      <c r="K34" s="221">
        <v>9</v>
      </c>
      <c r="L34" s="221">
        <v>9</v>
      </c>
      <c r="M34" s="221">
        <v>9</v>
      </c>
      <c r="N34" s="221">
        <v>9</v>
      </c>
      <c r="O34" s="221">
        <v>9</v>
      </c>
      <c r="P34" s="221">
        <v>9</v>
      </c>
      <c r="Q34" s="221">
        <v>9</v>
      </c>
      <c r="R34" s="221">
        <v>9</v>
      </c>
      <c r="S34" s="221">
        <v>9</v>
      </c>
      <c r="T34" s="221">
        <v>9</v>
      </c>
      <c r="U34" s="221">
        <v>9</v>
      </c>
      <c r="V34" s="221">
        <v>9</v>
      </c>
      <c r="W34" s="221">
        <v>9</v>
      </c>
      <c r="X34" s="221">
        <v>9</v>
      </c>
      <c r="Y34" s="221">
        <v>9</v>
      </c>
      <c r="Z34" s="221">
        <v>9</v>
      </c>
      <c r="AA34" s="221">
        <v>9</v>
      </c>
      <c r="AB34" s="221">
        <v>9</v>
      </c>
      <c r="AC34" s="221">
        <v>9</v>
      </c>
      <c r="AD34" s="221">
        <v>9</v>
      </c>
      <c r="AE34" s="221">
        <v>9</v>
      </c>
      <c r="AF34" s="221">
        <v>9</v>
      </c>
      <c r="AG34" s="235">
        <v>10</v>
      </c>
      <c r="AH34" s="226">
        <f t="shared" si="2"/>
        <v>9</v>
      </c>
      <c r="AI34" s="227">
        <f t="shared" si="3"/>
        <v>9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0</v>
      </c>
      <c r="N35" s="221">
        <v>0</v>
      </c>
      <c r="O35" s="221">
        <v>0</v>
      </c>
      <c r="P35" s="221">
        <v>0</v>
      </c>
      <c r="Q35" s="221">
        <v>0</v>
      </c>
      <c r="R35" s="221">
        <v>0</v>
      </c>
      <c r="S35" s="221">
        <v>2</v>
      </c>
      <c r="T35" s="221">
        <v>2</v>
      </c>
      <c r="U35" s="221">
        <v>2</v>
      </c>
      <c r="V35" s="221">
        <v>2</v>
      </c>
      <c r="W35" s="221">
        <v>0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f>88.9+79.9</f>
        <v>168.8</v>
      </c>
      <c r="C37" s="237">
        <f>79.8+88.8</f>
        <v>168.6</v>
      </c>
      <c r="D37" s="237">
        <f>88.9+79.2</f>
        <v>168.10000000000002</v>
      </c>
      <c r="E37" s="237">
        <f>80.3+88.6</f>
        <v>168.89999999999998</v>
      </c>
      <c r="F37" s="237">
        <f>80.8+77.5</f>
        <v>158.30000000000001</v>
      </c>
      <c r="G37" s="237">
        <f>80.9+92</f>
        <v>172.9</v>
      </c>
      <c r="H37" s="237">
        <f>80.7+91.9</f>
        <v>172.60000000000002</v>
      </c>
      <c r="I37" s="237">
        <f>80.7+91.9</f>
        <v>172.60000000000002</v>
      </c>
      <c r="J37" s="237">
        <f>80.7+91.9</f>
        <v>172.60000000000002</v>
      </c>
      <c r="K37" s="237">
        <f>82.7+75.3</f>
        <v>158</v>
      </c>
      <c r="L37" s="237">
        <f>82.3+94</f>
        <v>176.3</v>
      </c>
      <c r="M37" s="237">
        <v>176.3</v>
      </c>
      <c r="N37" s="237">
        <v>177</v>
      </c>
      <c r="O37" s="237">
        <v>177</v>
      </c>
      <c r="P37" s="237">
        <v>177</v>
      </c>
      <c r="Q37" s="237">
        <v>177</v>
      </c>
      <c r="R37" s="237">
        <v>177</v>
      </c>
      <c r="S37" s="239">
        <f>94.1+83.1</f>
        <v>177.2</v>
      </c>
      <c r="T37" s="239">
        <f>82.9+94</f>
        <v>176.9</v>
      </c>
      <c r="U37" s="239">
        <f>82.9+94</f>
        <v>176.9</v>
      </c>
      <c r="V37" s="239">
        <f>93.8+76.3</f>
        <v>170.1</v>
      </c>
      <c r="W37" s="239">
        <f>96.1+82.8</f>
        <v>178.89999999999998</v>
      </c>
      <c r="X37" s="239">
        <f>95.6+82.2</f>
        <v>177.8</v>
      </c>
      <c r="Y37" s="239">
        <f>94.4+81.2</f>
        <v>175.60000000000002</v>
      </c>
      <c r="Z37" s="239">
        <f>81.3+94.6</f>
        <v>175.89999999999998</v>
      </c>
      <c r="AA37" s="239">
        <f>94.9+81.2</f>
        <v>176.10000000000002</v>
      </c>
      <c r="AB37" s="239">
        <v>176.10000000000002</v>
      </c>
      <c r="AC37" s="239">
        <v>176.10000000000002</v>
      </c>
      <c r="AD37" s="239">
        <v>176.10000000000002</v>
      </c>
      <c r="AE37" s="239">
        <v>178</v>
      </c>
      <c r="AF37" s="239">
        <v>178</v>
      </c>
      <c r="AG37" s="235">
        <v>240</v>
      </c>
      <c r="AH37" s="226">
        <f t="shared" si="2"/>
        <v>178.89999999999998</v>
      </c>
      <c r="AI37" s="227">
        <f t="shared" si="3"/>
        <v>158</v>
      </c>
      <c r="AK37" s="228"/>
    </row>
    <row r="38" spans="1:88" ht="15.75" thickBot="1" x14ac:dyDescent="0.3">
      <c r="A38" s="240" t="s">
        <v>46</v>
      </c>
      <c r="B38" s="241">
        <f t="shared" ref="B38" si="4">SUM(B11:B36)</f>
        <v>742.9</v>
      </c>
      <c r="C38" s="241">
        <f t="shared" ref="C38:AG38" si="5">SUM(C11:C36)</f>
        <v>747.9</v>
      </c>
      <c r="D38" s="241">
        <f t="shared" si="5"/>
        <v>740.9</v>
      </c>
      <c r="E38" s="241">
        <f t="shared" si="5"/>
        <v>754.9</v>
      </c>
      <c r="F38" s="241">
        <f t="shared" si="5"/>
        <v>754.8</v>
      </c>
      <c r="G38" s="241">
        <f t="shared" si="5"/>
        <v>754.8</v>
      </c>
      <c r="H38" s="241">
        <f t="shared" si="5"/>
        <v>754.8</v>
      </c>
      <c r="I38" s="241">
        <f t="shared" si="5"/>
        <v>754.8</v>
      </c>
      <c r="J38" s="241">
        <f t="shared" si="5"/>
        <v>772.8</v>
      </c>
      <c r="K38" s="241">
        <f t="shared" si="5"/>
        <v>772.8</v>
      </c>
      <c r="L38" s="241">
        <f t="shared" si="5"/>
        <v>816.9</v>
      </c>
      <c r="M38" s="241">
        <f t="shared" si="5"/>
        <v>821.9</v>
      </c>
      <c r="N38" s="241">
        <f t="shared" si="5"/>
        <v>821.9</v>
      </c>
      <c r="O38" s="241">
        <f t="shared" si="5"/>
        <v>821.9</v>
      </c>
      <c r="P38" s="241">
        <f t="shared" si="5"/>
        <v>821.9</v>
      </c>
      <c r="Q38" s="241">
        <f t="shared" si="5"/>
        <v>801.9</v>
      </c>
      <c r="R38" s="241">
        <f t="shared" si="5"/>
        <v>801.9</v>
      </c>
      <c r="S38" s="241">
        <f t="shared" si="5"/>
        <v>820.09999999999991</v>
      </c>
      <c r="T38" s="241">
        <f t="shared" si="5"/>
        <v>820.09999999999991</v>
      </c>
      <c r="U38" s="241">
        <f t="shared" si="5"/>
        <v>820.09999999999991</v>
      </c>
      <c r="V38" s="241">
        <f t="shared" si="5"/>
        <v>802.8</v>
      </c>
      <c r="W38" s="241">
        <f t="shared" si="5"/>
        <v>795.8</v>
      </c>
      <c r="X38" s="241">
        <f t="shared" si="5"/>
        <v>795.8</v>
      </c>
      <c r="Y38" s="241">
        <f t="shared" si="5"/>
        <v>795.8</v>
      </c>
      <c r="Z38" s="241">
        <f>SUM(Z11:Z36)</f>
        <v>820.09999999999991</v>
      </c>
      <c r="AA38" s="241">
        <f t="shared" si="5"/>
        <v>820.09999999999991</v>
      </c>
      <c r="AB38" s="241">
        <f t="shared" si="5"/>
        <v>819</v>
      </c>
      <c r="AC38" s="241">
        <f t="shared" si="5"/>
        <v>818</v>
      </c>
      <c r="AD38" s="241">
        <f t="shared" si="5"/>
        <v>818</v>
      </c>
      <c r="AE38" s="241">
        <f t="shared" si="5"/>
        <v>776.4</v>
      </c>
      <c r="AF38" s="241">
        <f t="shared" si="5"/>
        <v>757.4</v>
      </c>
      <c r="AG38" s="242">
        <f t="shared" si="5"/>
        <v>665.78</v>
      </c>
      <c r="AH38" s="226">
        <f t="shared" si="2"/>
        <v>821.9</v>
      </c>
      <c r="AI38" s="227">
        <f t="shared" si="3"/>
        <v>740.9</v>
      </c>
      <c r="AK38" s="228"/>
    </row>
    <row r="39" spans="1:88" x14ac:dyDescent="0.25">
      <c r="A39" s="243" t="s">
        <v>47</v>
      </c>
      <c r="B39" s="221">
        <v>436</v>
      </c>
      <c r="C39" s="221">
        <v>436</v>
      </c>
      <c r="D39" s="221">
        <v>406</v>
      </c>
      <c r="E39" s="221">
        <v>420</v>
      </c>
      <c r="F39" s="221">
        <v>435</v>
      </c>
      <c r="G39" s="221">
        <v>435</v>
      </c>
      <c r="H39" s="221">
        <v>456</v>
      </c>
      <c r="I39" s="221">
        <v>456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380</v>
      </c>
      <c r="P39" s="221">
        <v>456</v>
      </c>
      <c r="Q39" s="221">
        <v>456</v>
      </c>
      <c r="R39" s="221">
        <v>456</v>
      </c>
      <c r="S39" s="221">
        <v>456</v>
      </c>
      <c r="T39" s="221">
        <v>456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 t="shared" ref="B42" si="6">SUM(B39:B41)</f>
        <v>518</v>
      </c>
      <c r="C42" s="241">
        <f t="shared" ref="C42:AG42" si="7">SUM(C39:C41)</f>
        <v>518</v>
      </c>
      <c r="D42" s="241">
        <f t="shared" si="7"/>
        <v>488</v>
      </c>
      <c r="E42" s="241">
        <f t="shared" si="7"/>
        <v>502</v>
      </c>
      <c r="F42" s="241">
        <f t="shared" si="7"/>
        <v>517</v>
      </c>
      <c r="G42" s="241">
        <f t="shared" si="7"/>
        <v>517</v>
      </c>
      <c r="H42" s="241">
        <f t="shared" si="7"/>
        <v>538</v>
      </c>
      <c r="I42" s="241">
        <f t="shared" si="7"/>
        <v>538</v>
      </c>
      <c r="J42" s="241">
        <f t="shared" si="7"/>
        <v>538</v>
      </c>
      <c r="K42" s="241">
        <f t="shared" si="7"/>
        <v>538</v>
      </c>
      <c r="L42" s="241">
        <f t="shared" si="7"/>
        <v>538</v>
      </c>
      <c r="M42" s="241">
        <f t="shared" si="7"/>
        <v>538</v>
      </c>
      <c r="N42" s="241">
        <f t="shared" si="7"/>
        <v>538</v>
      </c>
      <c r="O42" s="241">
        <f t="shared" si="7"/>
        <v>462</v>
      </c>
      <c r="P42" s="241">
        <f t="shared" si="7"/>
        <v>538</v>
      </c>
      <c r="Q42" s="241">
        <f t="shared" si="7"/>
        <v>538</v>
      </c>
      <c r="R42" s="241">
        <f t="shared" si="7"/>
        <v>538</v>
      </c>
      <c r="S42" s="241">
        <f t="shared" si="7"/>
        <v>538</v>
      </c>
      <c r="T42" s="241">
        <f t="shared" si="7"/>
        <v>538</v>
      </c>
      <c r="U42" s="241">
        <f t="shared" si="7"/>
        <v>538</v>
      </c>
      <c r="V42" s="241">
        <f t="shared" si="7"/>
        <v>538</v>
      </c>
      <c r="W42" s="241">
        <f t="shared" si="7"/>
        <v>538</v>
      </c>
      <c r="X42" s="241">
        <f t="shared" si="7"/>
        <v>538</v>
      </c>
      <c r="Y42" s="241">
        <f t="shared" si="7"/>
        <v>538</v>
      </c>
      <c r="Z42" s="241">
        <f t="shared" ref="Z42" si="8">SUM(Z39:Z41)</f>
        <v>538</v>
      </c>
      <c r="AA42" s="241">
        <f t="shared" si="7"/>
        <v>538</v>
      </c>
      <c r="AB42" s="241">
        <f t="shared" si="7"/>
        <v>538</v>
      </c>
      <c r="AC42" s="241">
        <f t="shared" si="7"/>
        <v>538</v>
      </c>
      <c r="AD42" s="241">
        <f t="shared" si="7"/>
        <v>538</v>
      </c>
      <c r="AE42" s="241">
        <f t="shared" si="7"/>
        <v>538</v>
      </c>
      <c r="AF42" s="241">
        <f t="shared" si="7"/>
        <v>538</v>
      </c>
      <c r="AG42" s="242">
        <f t="shared" si="7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143.1</v>
      </c>
      <c r="C43" s="221">
        <v>143.1</v>
      </c>
      <c r="D43" s="221">
        <v>143.19999999999999</v>
      </c>
      <c r="E43" s="221">
        <v>143.19999999999999</v>
      </c>
      <c r="F43" s="221">
        <v>143.19999999999999</v>
      </c>
      <c r="G43" s="221">
        <v>131.30000000000001</v>
      </c>
      <c r="H43" s="221">
        <v>143</v>
      </c>
      <c r="I43" s="221">
        <v>142.9</v>
      </c>
      <c r="J43" s="221">
        <v>142.30000000000001</v>
      </c>
      <c r="K43" s="221">
        <v>141.69999999999999</v>
      </c>
      <c r="L43" s="221">
        <v>141.4</v>
      </c>
      <c r="M43" s="221">
        <v>141.4</v>
      </c>
      <c r="N43" s="221">
        <v>142.4</v>
      </c>
      <c r="O43" s="221">
        <v>142.4</v>
      </c>
      <c r="P43" s="221">
        <v>142.4</v>
      </c>
      <c r="Q43" s="221">
        <v>142.4</v>
      </c>
      <c r="R43" s="221">
        <v>142.4</v>
      </c>
      <c r="S43" s="221">
        <v>142.4</v>
      </c>
      <c r="T43" s="221">
        <v>141.4</v>
      </c>
      <c r="U43" s="221">
        <v>141.4</v>
      </c>
      <c r="V43" s="221">
        <v>142.30000000000001</v>
      </c>
      <c r="W43" s="221">
        <v>142.30000000000001</v>
      </c>
      <c r="X43" s="221">
        <v>142.80000000000001</v>
      </c>
      <c r="Y43" s="221">
        <v>143</v>
      </c>
      <c r="Z43" s="221">
        <v>143</v>
      </c>
      <c r="AA43" s="221">
        <v>143.1</v>
      </c>
      <c r="AB43" s="221">
        <v>143.1</v>
      </c>
      <c r="AC43" s="221">
        <v>143.1</v>
      </c>
      <c r="AD43" s="221">
        <v>143.1</v>
      </c>
      <c r="AE43" s="221">
        <v>143.1</v>
      </c>
      <c r="AF43" s="221">
        <v>143.1</v>
      </c>
      <c r="AG43" s="230">
        <v>144</v>
      </c>
      <c r="AH43" s="226">
        <f t="shared" si="2"/>
        <v>143.19999999999999</v>
      </c>
      <c r="AI43" s="227">
        <f t="shared" si="3"/>
        <v>131.30000000000001</v>
      </c>
      <c r="AK43" s="228"/>
    </row>
    <row r="44" spans="1:88" x14ac:dyDescent="0.25">
      <c r="A44" s="234" t="s">
        <v>52</v>
      </c>
      <c r="B44" s="245">
        <v>72.400000000000006</v>
      </c>
      <c r="C44" s="245">
        <v>72.400000000000006</v>
      </c>
      <c r="D44" s="245">
        <v>70.7</v>
      </c>
      <c r="E44" s="245">
        <v>60</v>
      </c>
      <c r="F44" s="245">
        <v>60</v>
      </c>
      <c r="G44" s="245">
        <v>59</v>
      </c>
      <c r="H44" s="245">
        <v>63.3</v>
      </c>
      <c r="I44" s="245">
        <v>64.099999999999994</v>
      </c>
      <c r="J44" s="245">
        <v>70.900000000000006</v>
      </c>
      <c r="K44" s="245">
        <v>71.5</v>
      </c>
      <c r="L44" s="245">
        <v>72</v>
      </c>
      <c r="M44" s="245">
        <v>72</v>
      </c>
      <c r="N44" s="245">
        <v>71</v>
      </c>
      <c r="O44" s="245">
        <v>71</v>
      </c>
      <c r="P44" s="245">
        <v>71</v>
      </c>
      <c r="Q44" s="245">
        <v>71</v>
      </c>
      <c r="R44" s="245">
        <v>71</v>
      </c>
      <c r="S44" s="245">
        <v>72.7</v>
      </c>
      <c r="T44" s="245">
        <v>73</v>
      </c>
      <c r="U44" s="245">
        <v>73</v>
      </c>
      <c r="V44" s="245">
        <v>72.7</v>
      </c>
      <c r="W44" s="245">
        <v>72.7</v>
      </c>
      <c r="X44" s="245">
        <v>73.099999999999994</v>
      </c>
      <c r="Y44" s="245">
        <v>73.3</v>
      </c>
      <c r="Z44" s="245">
        <v>73.2</v>
      </c>
      <c r="AA44" s="245">
        <v>73.099999999999994</v>
      </c>
      <c r="AB44" s="245">
        <v>73.099999999999994</v>
      </c>
      <c r="AC44" s="245">
        <v>73.099999999999994</v>
      </c>
      <c r="AD44" s="245">
        <v>73.099999999999994</v>
      </c>
      <c r="AE44" s="245">
        <v>73.099999999999994</v>
      </c>
      <c r="AF44" s="245">
        <v>71</v>
      </c>
      <c r="AG44" s="235">
        <v>70</v>
      </c>
      <c r="AH44" s="226">
        <f t="shared" si="2"/>
        <v>73.3</v>
      </c>
      <c r="AI44" s="227">
        <f t="shared" si="3"/>
        <v>59</v>
      </c>
      <c r="AK44" s="228"/>
    </row>
    <row r="45" spans="1:88" x14ac:dyDescent="0.25">
      <c r="A45" s="234" t="s">
        <v>53</v>
      </c>
      <c r="B45" s="245">
        <v>51.7</v>
      </c>
      <c r="C45" s="245">
        <v>64.5</v>
      </c>
      <c r="D45" s="245">
        <v>64.2</v>
      </c>
      <c r="E45" s="245">
        <v>51.6</v>
      </c>
      <c r="F45" s="245">
        <v>51.6</v>
      </c>
      <c r="G45" s="245">
        <v>50.6</v>
      </c>
      <c r="H45" s="245">
        <v>50.5</v>
      </c>
      <c r="I45" s="245">
        <v>50.5</v>
      </c>
      <c r="J45" s="245">
        <v>63.3</v>
      </c>
      <c r="K45" s="245">
        <v>63.4</v>
      </c>
      <c r="L45" s="245">
        <v>64.099999999999994</v>
      </c>
      <c r="M45" s="245">
        <v>64.099999999999994</v>
      </c>
      <c r="N45" s="245">
        <v>64.599999999999994</v>
      </c>
      <c r="O45" s="245">
        <v>64.599999999999994</v>
      </c>
      <c r="P45" s="245">
        <v>64.599999999999994</v>
      </c>
      <c r="Q45" s="245">
        <v>64.599999999999994</v>
      </c>
      <c r="R45" s="245">
        <v>64.599999999999994</v>
      </c>
      <c r="S45" s="245">
        <v>64.599999999999994</v>
      </c>
      <c r="T45" s="245">
        <v>64.3</v>
      </c>
      <c r="U45" s="245">
        <v>64.3</v>
      </c>
      <c r="V45" s="245">
        <v>59.8</v>
      </c>
      <c r="W45" s="245">
        <v>59.8</v>
      </c>
      <c r="X45" s="245">
        <v>64.599999999999994</v>
      </c>
      <c r="Y45" s="245">
        <v>64.400000000000006</v>
      </c>
      <c r="Z45" s="245">
        <v>64.400000000000006</v>
      </c>
      <c r="AA45" s="245">
        <v>64.3</v>
      </c>
      <c r="AB45" s="245">
        <v>64.3</v>
      </c>
      <c r="AC45" s="245">
        <v>64.3</v>
      </c>
      <c r="AD45" s="245">
        <v>64.3</v>
      </c>
      <c r="AE45" s="245">
        <v>64.3</v>
      </c>
      <c r="AF45" s="245">
        <v>64.3</v>
      </c>
      <c r="AG45" s="235">
        <v>69</v>
      </c>
      <c r="AH45" s="226">
        <f t="shared" si="2"/>
        <v>64.599999999999994</v>
      </c>
      <c r="AI45" s="227">
        <f t="shared" si="3"/>
        <v>50.5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51.1</v>
      </c>
      <c r="E46" s="237">
        <v>51.1</v>
      </c>
      <c r="F46" s="237">
        <v>51.1</v>
      </c>
      <c r="G46" s="237">
        <v>45.9</v>
      </c>
      <c r="H46" s="237">
        <v>46</v>
      </c>
      <c r="I46" s="237">
        <v>46.1</v>
      </c>
      <c r="J46" s="237">
        <v>61.7</v>
      </c>
      <c r="K46" s="237">
        <v>61.7</v>
      </c>
      <c r="L46" s="237">
        <v>62</v>
      </c>
      <c r="M46" s="237">
        <v>62</v>
      </c>
      <c r="N46" s="237">
        <v>61.7</v>
      </c>
      <c r="O46" s="237">
        <v>61.7</v>
      </c>
      <c r="P46" s="237">
        <v>61.7</v>
      </c>
      <c r="Q46" s="237">
        <v>61.7</v>
      </c>
      <c r="R46" s="237">
        <v>30</v>
      </c>
      <c r="S46" s="221">
        <v>0</v>
      </c>
      <c r="T46" s="221">
        <v>0</v>
      </c>
      <c r="U46" s="221">
        <v>59.2</v>
      </c>
      <c r="V46" s="245">
        <v>60.4</v>
      </c>
      <c r="W46" s="245">
        <v>60.4</v>
      </c>
      <c r="X46" s="245">
        <v>60.4</v>
      </c>
      <c r="Y46" s="245">
        <v>60.2</v>
      </c>
      <c r="Z46" s="245">
        <v>60.2</v>
      </c>
      <c r="AA46" s="245">
        <v>60.4</v>
      </c>
      <c r="AB46" s="237">
        <v>60.4</v>
      </c>
      <c r="AC46" s="237">
        <v>60.4</v>
      </c>
      <c r="AD46" s="237">
        <v>60.4</v>
      </c>
      <c r="AE46" s="237">
        <v>60.4</v>
      </c>
      <c r="AF46" s="237">
        <v>60.4</v>
      </c>
      <c r="AG46" s="235">
        <v>60</v>
      </c>
      <c r="AH46" s="226">
        <f t="shared" si="2"/>
        <v>62</v>
      </c>
      <c r="AI46" s="227">
        <f t="shared" si="3"/>
        <v>0</v>
      </c>
      <c r="AK46" s="228"/>
    </row>
    <row r="47" spans="1:88" x14ac:dyDescent="0.25">
      <c r="A47" s="234" t="s">
        <v>55</v>
      </c>
      <c r="B47" s="237">
        <v>28.8</v>
      </c>
      <c r="C47" s="237">
        <v>28.8</v>
      </c>
      <c r="D47" s="237">
        <v>28.8</v>
      </c>
      <c r="E47" s="237">
        <v>28.8</v>
      </c>
      <c r="F47" s="237">
        <v>28.8</v>
      </c>
      <c r="G47" s="237">
        <v>28.5</v>
      </c>
      <c r="H47" s="237">
        <v>28.5</v>
      </c>
      <c r="I47" s="237">
        <v>28.5</v>
      </c>
      <c r="J47" s="237">
        <v>28.5</v>
      </c>
      <c r="K47" s="237">
        <v>28.5</v>
      </c>
      <c r="L47" s="237">
        <v>28.5</v>
      </c>
      <c r="M47" s="221">
        <v>28.5</v>
      </c>
      <c r="N47" s="221">
        <v>28.5</v>
      </c>
      <c r="O47" s="221">
        <v>28.5</v>
      </c>
      <c r="P47" s="221">
        <v>28.5</v>
      </c>
      <c r="Q47" s="221">
        <v>28.5</v>
      </c>
      <c r="R47" s="221">
        <v>28.5</v>
      </c>
      <c r="S47" s="221">
        <v>28.5</v>
      </c>
      <c r="T47" s="221">
        <v>28.5</v>
      </c>
      <c r="U47" s="221">
        <v>28.5</v>
      </c>
      <c r="V47" s="221">
        <v>28.5</v>
      </c>
      <c r="W47" s="221">
        <v>28.5</v>
      </c>
      <c r="X47" s="221">
        <v>28.5</v>
      </c>
      <c r="Y47" s="221">
        <v>28.5</v>
      </c>
      <c r="Z47" s="245">
        <v>0</v>
      </c>
      <c r="AA47" s="245">
        <v>28.5</v>
      </c>
      <c r="AB47" s="237">
        <v>28.5</v>
      </c>
      <c r="AC47" s="237">
        <v>28.5</v>
      </c>
      <c r="AD47" s="237">
        <v>28.5</v>
      </c>
      <c r="AE47" s="237">
        <v>28.5</v>
      </c>
      <c r="AF47" s="237">
        <v>28.5</v>
      </c>
      <c r="AG47" s="235">
        <v>30</v>
      </c>
      <c r="AH47" s="226">
        <f t="shared" si="2"/>
        <v>28.8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37">
        <v>0</v>
      </c>
      <c r="H48" s="237">
        <v>0</v>
      </c>
      <c r="I48" s="237">
        <v>0</v>
      </c>
      <c r="J48" s="237">
        <v>0</v>
      </c>
      <c r="K48" s="237">
        <v>0</v>
      </c>
      <c r="L48" s="237">
        <v>0</v>
      </c>
      <c r="M48" s="221">
        <v>8</v>
      </c>
      <c r="N48" s="221">
        <v>10</v>
      </c>
      <c r="O48" s="221">
        <v>10</v>
      </c>
      <c r="P48" s="221">
        <v>10</v>
      </c>
      <c r="Q48" s="221">
        <v>10</v>
      </c>
      <c r="R48" s="221">
        <v>10</v>
      </c>
      <c r="S48" s="221">
        <v>10</v>
      </c>
      <c r="T48" s="221">
        <v>10</v>
      </c>
      <c r="U48" s="221">
        <v>8</v>
      </c>
      <c r="V48" s="221">
        <v>8</v>
      </c>
      <c r="W48" s="221">
        <v>0</v>
      </c>
      <c r="X48" s="221">
        <v>0</v>
      </c>
      <c r="Y48" s="221">
        <v>0</v>
      </c>
      <c r="Z48" s="221">
        <v>0</v>
      </c>
      <c r="AA48" s="221">
        <v>0</v>
      </c>
      <c r="AB48" s="245">
        <v>0</v>
      </c>
      <c r="AC48" s="245">
        <v>0</v>
      </c>
      <c r="AD48" s="245">
        <v>0</v>
      </c>
      <c r="AE48" s="245">
        <v>0</v>
      </c>
      <c r="AF48" s="245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17.2</v>
      </c>
      <c r="C49" s="245">
        <v>17.2</v>
      </c>
      <c r="D49" s="245">
        <v>17.2</v>
      </c>
      <c r="E49" s="245">
        <v>17.2</v>
      </c>
      <c r="F49" s="245">
        <v>17.2</v>
      </c>
      <c r="G49" s="245">
        <v>17.100000000000001</v>
      </c>
      <c r="H49" s="245">
        <v>17.100000000000001</v>
      </c>
      <c r="I49" s="245">
        <v>17.100000000000001</v>
      </c>
      <c r="J49" s="245">
        <v>17.100000000000001</v>
      </c>
      <c r="K49" s="245">
        <v>17.100000000000001</v>
      </c>
      <c r="L49" s="245">
        <v>17.100000000000001</v>
      </c>
      <c r="M49" s="245">
        <v>17.100000000000001</v>
      </c>
      <c r="N49" s="245">
        <v>17.100000000000001</v>
      </c>
      <c r="O49" s="245">
        <v>17.100000000000001</v>
      </c>
      <c r="P49" s="245">
        <v>17.100000000000001</v>
      </c>
      <c r="Q49" s="245">
        <v>17.100000000000001</v>
      </c>
      <c r="R49" s="245">
        <v>17.100000000000001</v>
      </c>
      <c r="S49" s="221">
        <v>13.8</v>
      </c>
      <c r="T49" s="221">
        <v>13.8</v>
      </c>
      <c r="U49" s="221">
        <v>13.8</v>
      </c>
      <c r="V49" s="221">
        <v>13.8</v>
      </c>
      <c r="W49" s="221">
        <v>13.8</v>
      </c>
      <c r="X49" s="221">
        <v>13.8</v>
      </c>
      <c r="Y49" s="221">
        <v>13.8</v>
      </c>
      <c r="Z49" s="221">
        <v>13.8</v>
      </c>
      <c r="AA49" s="221">
        <v>13.8</v>
      </c>
      <c r="AB49" s="245">
        <v>13.8</v>
      </c>
      <c r="AC49" s="245">
        <v>13.8</v>
      </c>
      <c r="AD49" s="245">
        <v>13.8</v>
      </c>
      <c r="AE49" s="245">
        <v>13.8</v>
      </c>
      <c r="AF49" s="245">
        <v>13.8</v>
      </c>
      <c r="AG49" s="235">
        <v>24</v>
      </c>
      <c r="AH49" s="226">
        <f t="shared" si="2"/>
        <v>17.2</v>
      </c>
      <c r="AI49" s="227">
        <f t="shared" si="3"/>
        <v>13.8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45">
        <v>3</v>
      </c>
      <c r="N50" s="245">
        <v>3</v>
      </c>
      <c r="O50" s="245">
        <v>3</v>
      </c>
      <c r="P50" s="245">
        <v>3</v>
      </c>
      <c r="Q50" s="245">
        <v>3</v>
      </c>
      <c r="R50" s="245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45">
        <v>3</v>
      </c>
      <c r="AC50" s="245">
        <v>3</v>
      </c>
      <c r="AD50" s="245">
        <v>3</v>
      </c>
      <c r="AE50" s="245">
        <v>3</v>
      </c>
      <c r="AF50" s="245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13.3</v>
      </c>
      <c r="C51" s="245">
        <v>13.3</v>
      </c>
      <c r="D51" s="245">
        <v>13.3</v>
      </c>
      <c r="E51" s="245">
        <v>13.3</v>
      </c>
      <c r="F51" s="245">
        <v>13.3</v>
      </c>
      <c r="G51" s="245">
        <v>13.3</v>
      </c>
      <c r="H51" s="245">
        <v>13.3</v>
      </c>
      <c r="I51" s="245">
        <v>13.3</v>
      </c>
      <c r="J51" s="245">
        <v>13.3</v>
      </c>
      <c r="K51" s="245">
        <v>13.3</v>
      </c>
      <c r="L51" s="245">
        <v>13.3</v>
      </c>
      <c r="M51" s="245">
        <v>13.3</v>
      </c>
      <c r="N51" s="245">
        <v>13.3</v>
      </c>
      <c r="O51" s="245">
        <v>13.3</v>
      </c>
      <c r="P51" s="245">
        <v>13.3</v>
      </c>
      <c r="Q51" s="245">
        <v>13.3</v>
      </c>
      <c r="R51" s="245">
        <v>13.3</v>
      </c>
      <c r="S51" s="221">
        <v>12.2</v>
      </c>
      <c r="T51" s="221">
        <v>12.2</v>
      </c>
      <c r="U51" s="221">
        <v>12.2</v>
      </c>
      <c r="V51" s="221">
        <v>12.2</v>
      </c>
      <c r="W51" s="221">
        <v>12.2</v>
      </c>
      <c r="X51" s="221">
        <v>12.2</v>
      </c>
      <c r="Y51" s="221">
        <v>12.2</v>
      </c>
      <c r="Z51" s="221">
        <v>12.2</v>
      </c>
      <c r="AA51" s="221">
        <v>12.2</v>
      </c>
      <c r="AB51" s="245">
        <v>12.2</v>
      </c>
      <c r="AC51" s="245">
        <v>12.2</v>
      </c>
      <c r="AD51" s="245">
        <v>12.2</v>
      </c>
      <c r="AE51" s="245">
        <v>12.2</v>
      </c>
      <c r="AF51" s="245">
        <v>12.2</v>
      </c>
      <c r="AG51" s="235">
        <v>14.1</v>
      </c>
      <c r="AH51" s="226">
        <f t="shared" si="2"/>
        <v>13.3</v>
      </c>
      <c r="AI51" s="227">
        <f t="shared" si="3"/>
        <v>12.2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14.1</v>
      </c>
      <c r="C52" s="245">
        <v>14.1</v>
      </c>
      <c r="D52" s="245">
        <v>14.1</v>
      </c>
      <c r="E52" s="245">
        <v>14.1</v>
      </c>
      <c r="F52" s="245">
        <v>14.1</v>
      </c>
      <c r="G52" s="245">
        <v>14.1</v>
      </c>
      <c r="H52" s="245">
        <v>14.1</v>
      </c>
      <c r="I52" s="245">
        <v>14.1</v>
      </c>
      <c r="J52" s="245">
        <v>14.1</v>
      </c>
      <c r="K52" s="245">
        <v>14.1</v>
      </c>
      <c r="L52" s="245">
        <v>14.1</v>
      </c>
      <c r="M52" s="245">
        <v>14.1</v>
      </c>
      <c r="N52" s="245">
        <v>14.1</v>
      </c>
      <c r="O52" s="245">
        <v>14.1</v>
      </c>
      <c r="P52" s="245">
        <v>14.1</v>
      </c>
      <c r="Q52" s="245">
        <v>14.1</v>
      </c>
      <c r="R52" s="245">
        <v>14.1</v>
      </c>
      <c r="S52" s="221">
        <v>14.2</v>
      </c>
      <c r="T52" s="221">
        <v>14.2</v>
      </c>
      <c r="U52" s="221">
        <v>14.2</v>
      </c>
      <c r="V52" s="221">
        <v>14.2</v>
      </c>
      <c r="W52" s="221">
        <v>14.1</v>
      </c>
      <c r="X52" s="221">
        <v>8.3000000000000007</v>
      </c>
      <c r="Y52" s="221">
        <v>8.3000000000000007</v>
      </c>
      <c r="Z52" s="221">
        <v>8.3000000000000007</v>
      </c>
      <c r="AA52" s="221">
        <v>8.3000000000000007</v>
      </c>
      <c r="AB52" s="245">
        <v>8.3000000000000007</v>
      </c>
      <c r="AC52" s="245">
        <v>8.3000000000000007</v>
      </c>
      <c r="AD52" s="245">
        <v>8.3000000000000007</v>
      </c>
      <c r="AE52" s="245">
        <v>8.3000000000000007</v>
      </c>
      <c r="AF52" s="245">
        <v>8.4</v>
      </c>
      <c r="AG52" s="235">
        <v>14</v>
      </c>
      <c r="AH52" s="226">
        <f t="shared" si="2"/>
        <v>14.2</v>
      </c>
      <c r="AI52" s="227">
        <f t="shared" si="3"/>
        <v>8.3000000000000007</v>
      </c>
      <c r="AK52" s="228"/>
    </row>
    <row r="53" spans="1:41" x14ac:dyDescent="0.25">
      <c r="A53" s="234" t="s">
        <v>61</v>
      </c>
      <c r="B53" s="245">
        <v>9</v>
      </c>
      <c r="C53" s="245">
        <v>9</v>
      </c>
      <c r="D53" s="245">
        <v>9</v>
      </c>
      <c r="E53" s="245">
        <v>9</v>
      </c>
      <c r="F53" s="245">
        <v>9</v>
      </c>
      <c r="G53" s="245">
        <v>9</v>
      </c>
      <c r="H53" s="245">
        <v>9</v>
      </c>
      <c r="I53" s="245">
        <v>9</v>
      </c>
      <c r="J53" s="245">
        <v>9</v>
      </c>
      <c r="K53" s="245">
        <v>9</v>
      </c>
      <c r="L53" s="245">
        <v>9</v>
      </c>
      <c r="M53" s="245">
        <v>6.5</v>
      </c>
      <c r="N53" s="245">
        <v>6.5</v>
      </c>
      <c r="O53" s="245">
        <v>6.5</v>
      </c>
      <c r="P53" s="245">
        <v>6.5</v>
      </c>
      <c r="Q53" s="245">
        <v>6.5</v>
      </c>
      <c r="R53" s="245">
        <v>6.5</v>
      </c>
      <c r="S53" s="221">
        <v>6.5</v>
      </c>
      <c r="T53" s="221">
        <v>6.5</v>
      </c>
      <c r="U53" s="221">
        <v>6.5</v>
      </c>
      <c r="V53" s="221">
        <v>6.5</v>
      </c>
      <c r="W53" s="221">
        <v>6.5</v>
      </c>
      <c r="X53" s="221">
        <v>6.5</v>
      </c>
      <c r="Y53" s="221">
        <v>6.5</v>
      </c>
      <c r="Z53" s="221">
        <v>6.5</v>
      </c>
      <c r="AA53" s="221">
        <v>6.5</v>
      </c>
      <c r="AB53" s="245">
        <v>6.5</v>
      </c>
      <c r="AC53" s="245">
        <v>6.5</v>
      </c>
      <c r="AD53" s="245">
        <v>6.5</v>
      </c>
      <c r="AE53" s="245">
        <v>6.5</v>
      </c>
      <c r="AF53" s="245">
        <v>6.5</v>
      </c>
      <c r="AG53" s="235">
        <v>10.050000000000001</v>
      </c>
      <c r="AH53" s="226">
        <f t="shared" si="2"/>
        <v>9</v>
      </c>
      <c r="AI53" s="227">
        <f t="shared" si="3"/>
        <v>6.5</v>
      </c>
      <c r="AK53" s="228"/>
    </row>
    <row r="54" spans="1:41" x14ac:dyDescent="0.25">
      <c r="A54" s="234" t="s">
        <v>62</v>
      </c>
      <c r="B54" s="245">
        <v>3</v>
      </c>
      <c r="C54" s="245">
        <v>3</v>
      </c>
      <c r="D54" s="245">
        <v>3</v>
      </c>
      <c r="E54" s="245">
        <v>3</v>
      </c>
      <c r="F54" s="245">
        <v>3</v>
      </c>
      <c r="G54" s="245">
        <v>3</v>
      </c>
      <c r="H54" s="245">
        <v>3</v>
      </c>
      <c r="I54" s="245">
        <v>3</v>
      </c>
      <c r="J54" s="245">
        <v>3</v>
      </c>
      <c r="K54" s="245">
        <v>3</v>
      </c>
      <c r="L54" s="245">
        <v>3</v>
      </c>
      <c r="M54" s="245">
        <v>3</v>
      </c>
      <c r="N54" s="245">
        <v>3</v>
      </c>
      <c r="O54" s="245">
        <v>3</v>
      </c>
      <c r="P54" s="245">
        <v>3</v>
      </c>
      <c r="Q54" s="245">
        <v>3</v>
      </c>
      <c r="R54" s="245">
        <v>3</v>
      </c>
      <c r="S54" s="221">
        <v>6</v>
      </c>
      <c r="T54" s="221">
        <v>6</v>
      </c>
      <c r="U54" s="221">
        <v>6</v>
      </c>
      <c r="V54" s="221">
        <v>6</v>
      </c>
      <c r="W54" s="221">
        <v>6</v>
      </c>
      <c r="X54" s="221">
        <v>6</v>
      </c>
      <c r="Y54" s="221">
        <v>6</v>
      </c>
      <c r="Z54" s="221">
        <v>6</v>
      </c>
      <c r="AA54" s="221">
        <v>6</v>
      </c>
      <c r="AB54" s="245">
        <v>6</v>
      </c>
      <c r="AC54" s="245">
        <v>6</v>
      </c>
      <c r="AD54" s="245">
        <v>6</v>
      </c>
      <c r="AE54" s="245">
        <v>6</v>
      </c>
      <c r="AF54" s="245">
        <v>6</v>
      </c>
      <c r="AG54" s="235">
        <v>6.2</v>
      </c>
      <c r="AH54" s="226">
        <f t="shared" si="2"/>
        <v>6</v>
      </c>
      <c r="AI54" s="227">
        <f t="shared" si="3"/>
        <v>3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 t="shared" ref="B56" si="9">SUM(B43:B55)</f>
        <v>419.54</v>
      </c>
      <c r="C56" s="241">
        <f t="shared" ref="C56:AG56" si="10">SUM(C43:C55)</f>
        <v>432.34000000000003</v>
      </c>
      <c r="D56" s="241">
        <f t="shared" si="10"/>
        <v>421.14000000000004</v>
      </c>
      <c r="E56" s="241">
        <f t="shared" si="10"/>
        <v>397.84000000000003</v>
      </c>
      <c r="F56" s="241">
        <f t="shared" si="10"/>
        <v>397.84000000000003</v>
      </c>
      <c r="G56" s="241">
        <f t="shared" si="10"/>
        <v>378.34000000000009</v>
      </c>
      <c r="H56" s="241">
        <f t="shared" si="10"/>
        <v>394.34000000000009</v>
      </c>
      <c r="I56" s="241">
        <f t="shared" si="10"/>
        <v>395.1400000000001</v>
      </c>
      <c r="J56" s="241">
        <f t="shared" si="10"/>
        <v>429.74000000000007</v>
      </c>
      <c r="K56" s="241">
        <f t="shared" si="10"/>
        <v>429.84000000000003</v>
      </c>
      <c r="L56" s="241">
        <f t="shared" si="10"/>
        <v>431.04000000000008</v>
      </c>
      <c r="M56" s="241">
        <f t="shared" si="10"/>
        <v>436.54000000000008</v>
      </c>
      <c r="N56" s="241">
        <f t="shared" si="10"/>
        <v>438.74000000000007</v>
      </c>
      <c r="O56" s="241">
        <f t="shared" si="10"/>
        <v>438.74000000000007</v>
      </c>
      <c r="P56" s="241">
        <f t="shared" si="10"/>
        <v>438.74000000000007</v>
      </c>
      <c r="Q56" s="241">
        <f t="shared" si="10"/>
        <v>438.74000000000007</v>
      </c>
      <c r="R56" s="241">
        <f t="shared" si="10"/>
        <v>407.04000000000008</v>
      </c>
      <c r="S56" s="241">
        <f t="shared" si="10"/>
        <v>377.44000000000005</v>
      </c>
      <c r="T56" s="241">
        <f t="shared" si="10"/>
        <v>376.44</v>
      </c>
      <c r="U56" s="241">
        <f t="shared" si="10"/>
        <v>433.64</v>
      </c>
      <c r="V56" s="241">
        <f t="shared" si="10"/>
        <v>430.94</v>
      </c>
      <c r="W56" s="241">
        <f t="shared" si="10"/>
        <v>422.84000000000003</v>
      </c>
      <c r="X56" s="241">
        <f t="shared" si="10"/>
        <v>422.74</v>
      </c>
      <c r="Y56" s="241">
        <f t="shared" si="10"/>
        <v>422.74000000000007</v>
      </c>
      <c r="Z56" s="241">
        <f t="shared" ref="Z56" si="11">SUM(Z43:Z55)</f>
        <v>394.14000000000004</v>
      </c>
      <c r="AA56" s="241">
        <f t="shared" si="10"/>
        <v>422.74</v>
      </c>
      <c r="AB56" s="241">
        <f t="shared" si="10"/>
        <v>422.74</v>
      </c>
      <c r="AC56" s="241">
        <f t="shared" si="10"/>
        <v>422.74</v>
      </c>
      <c r="AD56" s="241">
        <f t="shared" si="10"/>
        <v>422.74</v>
      </c>
      <c r="AE56" s="241">
        <f t="shared" si="10"/>
        <v>422.74</v>
      </c>
      <c r="AF56" s="241">
        <f t="shared" si="10"/>
        <v>420.73999999999995</v>
      </c>
      <c r="AG56" s="242">
        <f t="shared" si="10"/>
        <v>489.91</v>
      </c>
      <c r="AH56" s="226">
        <f t="shared" si="2"/>
        <v>438.74000000000007</v>
      </c>
      <c r="AI56" s="227">
        <f t="shared" si="3"/>
        <v>376.44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10.9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10.9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7.8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7.8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2.8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2.8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 t="shared" ref="B60" si="12">SUM(B57:B59)</f>
        <v>0</v>
      </c>
      <c r="C60" s="241">
        <f t="shared" ref="C60:AG60" si="13">SUM(C57:C59)</f>
        <v>0</v>
      </c>
      <c r="D60" s="241">
        <f t="shared" si="13"/>
        <v>0</v>
      </c>
      <c r="E60" s="241">
        <f t="shared" si="13"/>
        <v>0</v>
      </c>
      <c r="F60" s="241">
        <f t="shared" si="13"/>
        <v>0</v>
      </c>
      <c r="G60" s="241">
        <f t="shared" si="13"/>
        <v>0</v>
      </c>
      <c r="H60" s="241">
        <f t="shared" si="13"/>
        <v>0</v>
      </c>
      <c r="I60" s="241">
        <f t="shared" si="13"/>
        <v>0</v>
      </c>
      <c r="J60" s="241">
        <f t="shared" si="13"/>
        <v>0</v>
      </c>
      <c r="K60" s="241">
        <f t="shared" si="13"/>
        <v>0</v>
      </c>
      <c r="L60" s="241">
        <f t="shared" si="13"/>
        <v>0</v>
      </c>
      <c r="M60" s="241">
        <f t="shared" si="13"/>
        <v>0</v>
      </c>
      <c r="N60" s="241">
        <f t="shared" si="13"/>
        <v>0</v>
      </c>
      <c r="O60" s="241">
        <f t="shared" si="13"/>
        <v>0</v>
      </c>
      <c r="P60" s="241">
        <f t="shared" si="13"/>
        <v>0</v>
      </c>
      <c r="Q60" s="241">
        <f t="shared" ref="Q60" si="14">SUM(Q57:Q59)</f>
        <v>0</v>
      </c>
      <c r="R60" s="241">
        <f t="shared" si="13"/>
        <v>0</v>
      </c>
      <c r="S60" s="241">
        <f t="shared" si="13"/>
        <v>0</v>
      </c>
      <c r="T60" s="241">
        <f t="shared" si="13"/>
        <v>10.6</v>
      </c>
      <c r="U60" s="241">
        <f t="shared" si="13"/>
        <v>0</v>
      </c>
      <c r="V60" s="241">
        <f t="shared" si="13"/>
        <v>0</v>
      </c>
      <c r="W60" s="241">
        <f t="shared" si="13"/>
        <v>0</v>
      </c>
      <c r="X60" s="241">
        <f t="shared" si="13"/>
        <v>0</v>
      </c>
      <c r="Y60" s="241">
        <f t="shared" si="13"/>
        <v>0</v>
      </c>
      <c r="Z60" s="241">
        <f t="shared" ref="Z60" si="15">SUM(Z57:Z59)</f>
        <v>10.9</v>
      </c>
      <c r="AA60" s="241">
        <f t="shared" si="13"/>
        <v>0</v>
      </c>
      <c r="AB60" s="241">
        <f t="shared" si="13"/>
        <v>0</v>
      </c>
      <c r="AC60" s="241">
        <f t="shared" si="13"/>
        <v>0</v>
      </c>
      <c r="AD60" s="241">
        <f t="shared" si="13"/>
        <v>0</v>
      </c>
      <c r="AE60" s="241">
        <f t="shared" si="13"/>
        <v>0</v>
      </c>
      <c r="AF60" s="241">
        <f t="shared" si="13"/>
        <v>0</v>
      </c>
      <c r="AG60" s="242">
        <f t="shared" si="13"/>
        <v>106</v>
      </c>
      <c r="AH60" s="226">
        <f t="shared" si="2"/>
        <v>10.9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19.2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0</v>
      </c>
      <c r="T61" s="221">
        <v>0</v>
      </c>
      <c r="U61" s="221">
        <v>0</v>
      </c>
      <c r="V61" s="221">
        <v>0</v>
      </c>
      <c r="W61" s="221">
        <v>0</v>
      </c>
      <c r="X61" s="221">
        <v>0</v>
      </c>
      <c r="Y61" s="221">
        <v>22.5</v>
      </c>
      <c r="Z61" s="221">
        <v>67.3</v>
      </c>
      <c r="AA61" s="221">
        <v>39.71</v>
      </c>
      <c r="AB61" s="221">
        <v>42</v>
      </c>
      <c r="AC61" s="221">
        <v>24.65</v>
      </c>
      <c r="AD61" s="221">
        <v>8</v>
      </c>
      <c r="AE61" s="221">
        <v>0</v>
      </c>
      <c r="AF61" s="221">
        <v>0</v>
      </c>
      <c r="AG61" s="230"/>
      <c r="AH61" s="226">
        <f t="shared" si="2"/>
        <v>67.3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-432.2</v>
      </c>
      <c r="C63" s="245">
        <v>-445</v>
      </c>
      <c r="D63" s="245">
        <v>-423.1</v>
      </c>
      <c r="E63" s="245">
        <v>-423.2</v>
      </c>
      <c r="F63" s="245">
        <v>-414</v>
      </c>
      <c r="G63" s="245">
        <v>-416.7</v>
      </c>
      <c r="H63" s="245">
        <v>-443</v>
      </c>
      <c r="I63" s="245">
        <v>-450</v>
      </c>
      <c r="J63" s="245">
        <v>-449</v>
      </c>
      <c r="K63" s="245">
        <v>-423.8</v>
      </c>
      <c r="L63" s="245">
        <v>-391</v>
      </c>
      <c r="M63" s="245">
        <v>-406</v>
      </c>
      <c r="N63" s="245">
        <v>-401</v>
      </c>
      <c r="O63" s="245">
        <v>-380</v>
      </c>
      <c r="P63" s="245">
        <v>-356</v>
      </c>
      <c r="Q63" s="245">
        <v>-381</v>
      </c>
      <c r="R63" s="245">
        <v>-400</v>
      </c>
      <c r="S63" s="245">
        <v>-331.2</v>
      </c>
      <c r="T63" s="245">
        <v>-364</v>
      </c>
      <c r="U63" s="245">
        <v>-381</v>
      </c>
      <c r="V63" s="245">
        <v>-409</v>
      </c>
      <c r="W63" s="245">
        <v>-423.7</v>
      </c>
      <c r="X63" s="245">
        <v>-370.3</v>
      </c>
      <c r="Y63" s="245">
        <v>-287.8</v>
      </c>
      <c r="Z63" s="245">
        <v>-252.5</v>
      </c>
      <c r="AA63" s="245">
        <v>-290.2</v>
      </c>
      <c r="AB63" s="245">
        <v>-310</v>
      </c>
      <c r="AC63" s="245">
        <v>-313</v>
      </c>
      <c r="AD63" s="245">
        <v>-335</v>
      </c>
      <c r="AE63" s="245">
        <v>-399</v>
      </c>
      <c r="AF63" s="245">
        <v>-409.8</v>
      </c>
      <c r="AG63" s="255"/>
      <c r="AH63" s="226">
        <f t="shared" si="2"/>
        <v>-252.5</v>
      </c>
      <c r="AI63" s="227">
        <f t="shared" si="3"/>
        <v>-450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5</v>
      </c>
      <c r="C66" s="257">
        <v>5</v>
      </c>
      <c r="D66" s="257">
        <v>5</v>
      </c>
      <c r="E66" s="257">
        <v>5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4</v>
      </c>
      <c r="AA66" s="257">
        <v>4</v>
      </c>
      <c r="AB66" s="257">
        <v>4</v>
      </c>
      <c r="AC66" s="257">
        <v>4</v>
      </c>
      <c r="AD66" s="257">
        <v>4</v>
      </c>
      <c r="AE66" s="257">
        <v>4</v>
      </c>
      <c r="AF66" s="257">
        <v>4</v>
      </c>
      <c r="AG66" s="255"/>
      <c r="AH66" s="226">
        <f t="shared" si="2"/>
        <v>5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 t="shared" ref="B72" si="16">SUMIF(B61:B71,"&gt;0")</f>
        <v>24.2</v>
      </c>
      <c r="C72" s="241">
        <f t="shared" ref="C72:L72" si="17">SUMIF(C61:C71,"&gt;0")</f>
        <v>5</v>
      </c>
      <c r="D72" s="241">
        <f t="shared" si="17"/>
        <v>5</v>
      </c>
      <c r="E72" s="241">
        <f t="shared" si="17"/>
        <v>5</v>
      </c>
      <c r="F72" s="241">
        <f t="shared" si="17"/>
        <v>0</v>
      </c>
      <c r="G72" s="241">
        <f t="shared" si="17"/>
        <v>0</v>
      </c>
      <c r="H72" s="241">
        <f t="shared" si="17"/>
        <v>0</v>
      </c>
      <c r="I72" s="241">
        <f t="shared" si="17"/>
        <v>0</v>
      </c>
      <c r="J72" s="241">
        <f t="shared" si="17"/>
        <v>0</v>
      </c>
      <c r="K72" s="241">
        <f t="shared" si="17"/>
        <v>0</v>
      </c>
      <c r="L72" s="241">
        <f t="shared" si="17"/>
        <v>0</v>
      </c>
      <c r="M72" s="241">
        <f>SUMIF(M61:M71,"&gt;0")</f>
        <v>0</v>
      </c>
      <c r="N72" s="241">
        <f t="shared" ref="N72:AF72" si="18">SUMIF(N61:N71,"&gt;0")</f>
        <v>0</v>
      </c>
      <c r="O72" s="241">
        <f t="shared" si="18"/>
        <v>0</v>
      </c>
      <c r="P72" s="241">
        <f t="shared" si="18"/>
        <v>0</v>
      </c>
      <c r="Q72" s="241">
        <f t="shared" si="18"/>
        <v>0</v>
      </c>
      <c r="R72" s="241">
        <f t="shared" si="18"/>
        <v>0</v>
      </c>
      <c r="S72" s="241">
        <f t="shared" si="18"/>
        <v>0</v>
      </c>
      <c r="T72" s="241">
        <f t="shared" si="18"/>
        <v>0</v>
      </c>
      <c r="U72" s="241">
        <f t="shared" si="18"/>
        <v>0</v>
      </c>
      <c r="V72" s="241">
        <f t="shared" si="18"/>
        <v>0</v>
      </c>
      <c r="W72" s="241">
        <f t="shared" si="18"/>
        <v>0</v>
      </c>
      <c r="X72" s="241">
        <f t="shared" si="18"/>
        <v>0</v>
      </c>
      <c r="Y72" s="241">
        <f t="shared" si="18"/>
        <v>22.5</v>
      </c>
      <c r="Z72" s="241">
        <f t="shared" si="18"/>
        <v>71.3</v>
      </c>
      <c r="AA72" s="241">
        <f t="shared" si="18"/>
        <v>43.71</v>
      </c>
      <c r="AB72" s="241">
        <f t="shared" si="18"/>
        <v>46</v>
      </c>
      <c r="AC72" s="241">
        <f t="shared" si="18"/>
        <v>28.65</v>
      </c>
      <c r="AD72" s="241">
        <f t="shared" si="18"/>
        <v>12</v>
      </c>
      <c r="AE72" s="241">
        <f t="shared" si="18"/>
        <v>4</v>
      </c>
      <c r="AF72" s="241">
        <f t="shared" si="18"/>
        <v>4</v>
      </c>
      <c r="AG72" s="261">
        <f>SUM(AG61:AG71)</f>
        <v>0</v>
      </c>
      <c r="AH72" s="226">
        <f t="shared" si="2"/>
        <v>71.3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/>
      <c r="R73" s="256"/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50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50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/>
      <c r="R74" s="257"/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/>
      <c r="R75" s="259"/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f t="shared" ref="Z76" si="19">SUM(Z73:Z75)</f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 t="shared" ref="B77" si="20">B38+B42+B60+B56+B72+B76</f>
        <v>1704.64</v>
      </c>
      <c r="C77" s="263">
        <f t="shared" ref="C77:AF77" si="21">C38+C42+C60+C56+C72+C76</f>
        <v>1703.2400000000002</v>
      </c>
      <c r="D77" s="263">
        <f t="shared" si="21"/>
        <v>1655.0400000000002</v>
      </c>
      <c r="E77" s="263">
        <f t="shared" si="21"/>
        <v>1659.7400000000002</v>
      </c>
      <c r="F77" s="263">
        <f t="shared" si="21"/>
        <v>1669.6399999999999</v>
      </c>
      <c r="G77" s="263">
        <f t="shared" si="21"/>
        <v>1650.14</v>
      </c>
      <c r="H77" s="263">
        <f t="shared" si="21"/>
        <v>1687.14</v>
      </c>
      <c r="I77" s="263">
        <f t="shared" si="21"/>
        <v>1687.94</v>
      </c>
      <c r="J77" s="263">
        <f t="shared" si="21"/>
        <v>1740.54</v>
      </c>
      <c r="K77" s="263">
        <f t="shared" si="21"/>
        <v>1740.6399999999999</v>
      </c>
      <c r="L77" s="263">
        <f t="shared" si="21"/>
        <v>1785.94</v>
      </c>
      <c r="M77" s="263">
        <f t="shared" si="21"/>
        <v>1796.44</v>
      </c>
      <c r="N77" s="263">
        <f t="shared" si="21"/>
        <v>1798.64</v>
      </c>
      <c r="O77" s="263">
        <f t="shared" si="21"/>
        <v>1722.64</v>
      </c>
      <c r="P77" s="263">
        <f t="shared" si="21"/>
        <v>1798.64</v>
      </c>
      <c r="Q77" s="263">
        <f t="shared" si="21"/>
        <v>1778.64</v>
      </c>
      <c r="R77" s="263">
        <f t="shared" si="21"/>
        <v>1746.94</v>
      </c>
      <c r="S77" s="263">
        <f t="shared" si="21"/>
        <v>1735.54</v>
      </c>
      <c r="T77" s="263">
        <f t="shared" si="21"/>
        <v>1745.1399999999999</v>
      </c>
      <c r="U77" s="263">
        <f t="shared" si="21"/>
        <v>1791.7399999999998</v>
      </c>
      <c r="V77" s="263">
        <f t="shared" si="21"/>
        <v>1771.74</v>
      </c>
      <c r="W77" s="263">
        <f t="shared" si="21"/>
        <v>1756.6399999999999</v>
      </c>
      <c r="X77" s="263">
        <f t="shared" si="21"/>
        <v>1756.54</v>
      </c>
      <c r="Y77" s="263">
        <f t="shared" si="21"/>
        <v>1779.04</v>
      </c>
      <c r="Z77" s="263">
        <f t="shared" ref="Z77" si="22">SUM(Z38,Z42,Z56,Z60,Z72,Z76)</f>
        <v>1834.44</v>
      </c>
      <c r="AA77" s="263">
        <f t="shared" si="21"/>
        <v>1824.55</v>
      </c>
      <c r="AB77" s="263">
        <f t="shared" si="21"/>
        <v>1825.74</v>
      </c>
      <c r="AC77" s="263">
        <f t="shared" si="21"/>
        <v>1807.39</v>
      </c>
      <c r="AD77" s="263">
        <f t="shared" si="21"/>
        <v>1790.74</v>
      </c>
      <c r="AE77" s="263">
        <f t="shared" si="21"/>
        <v>1741.14</v>
      </c>
      <c r="AF77" s="263">
        <f t="shared" si="21"/>
        <v>1720.14</v>
      </c>
      <c r="AG77" s="242">
        <f>AG38+AG42+AG60+AG56+AG72+AG76</f>
        <v>1855.1900000000003</v>
      </c>
      <c r="AH77" s="226">
        <f t="shared" si="2"/>
        <v>1834.44</v>
      </c>
      <c r="AI77" s="227">
        <f t="shared" si="3"/>
        <v>1650.14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 t="shared" ref="B79" si="23">B77+B78</f>
        <v>1704.64</v>
      </c>
      <c r="C79" s="263">
        <f t="shared" ref="C79:AF79" si="24">C77+C78</f>
        <v>1703.2400000000002</v>
      </c>
      <c r="D79" s="263">
        <f t="shared" si="24"/>
        <v>1655.0400000000002</v>
      </c>
      <c r="E79" s="263">
        <f t="shared" si="24"/>
        <v>1659.7400000000002</v>
      </c>
      <c r="F79" s="263">
        <f t="shared" si="24"/>
        <v>1669.6399999999999</v>
      </c>
      <c r="G79" s="263">
        <f t="shared" si="24"/>
        <v>1650.14</v>
      </c>
      <c r="H79" s="263">
        <f t="shared" si="24"/>
        <v>1687.14</v>
      </c>
      <c r="I79" s="263">
        <f t="shared" si="24"/>
        <v>1687.94</v>
      </c>
      <c r="J79" s="263">
        <f t="shared" si="24"/>
        <v>1740.54</v>
      </c>
      <c r="K79" s="263">
        <f t="shared" si="24"/>
        <v>1740.6399999999999</v>
      </c>
      <c r="L79" s="263">
        <f t="shared" si="24"/>
        <v>1785.94</v>
      </c>
      <c r="M79" s="263">
        <f t="shared" si="24"/>
        <v>1796.44</v>
      </c>
      <c r="N79" s="263">
        <f t="shared" si="24"/>
        <v>1798.64</v>
      </c>
      <c r="O79" s="263">
        <f t="shared" si="24"/>
        <v>1722.64</v>
      </c>
      <c r="P79" s="263">
        <f t="shared" si="24"/>
        <v>1798.64</v>
      </c>
      <c r="Q79" s="263">
        <f t="shared" si="24"/>
        <v>1778.64</v>
      </c>
      <c r="R79" s="263">
        <f t="shared" si="24"/>
        <v>1746.94</v>
      </c>
      <c r="S79" s="263">
        <f t="shared" si="24"/>
        <v>1735.54</v>
      </c>
      <c r="T79" s="263">
        <f t="shared" si="24"/>
        <v>1745.1399999999999</v>
      </c>
      <c r="U79" s="263">
        <f t="shared" si="24"/>
        <v>1791.7399999999998</v>
      </c>
      <c r="V79" s="263">
        <f t="shared" si="24"/>
        <v>1771.74</v>
      </c>
      <c r="W79" s="263">
        <f t="shared" si="24"/>
        <v>1756.6399999999999</v>
      </c>
      <c r="X79" s="263">
        <f t="shared" si="24"/>
        <v>1756.54</v>
      </c>
      <c r="Y79" s="263">
        <f t="shared" si="24"/>
        <v>1779.04</v>
      </c>
      <c r="Z79" s="263">
        <f t="shared" ref="Z79" si="25">SUM(Z77+Z78)</f>
        <v>1834.44</v>
      </c>
      <c r="AA79" s="263">
        <f t="shared" si="24"/>
        <v>1824.55</v>
      </c>
      <c r="AB79" s="263">
        <f t="shared" si="24"/>
        <v>1825.74</v>
      </c>
      <c r="AC79" s="263">
        <f t="shared" si="24"/>
        <v>1807.39</v>
      </c>
      <c r="AD79" s="263">
        <f t="shared" si="24"/>
        <v>1790.74</v>
      </c>
      <c r="AE79" s="263">
        <f t="shared" si="24"/>
        <v>1741.14</v>
      </c>
      <c r="AF79" s="263">
        <f t="shared" si="24"/>
        <v>1720.14</v>
      </c>
      <c r="AG79" s="261">
        <f>AG76+AG72+AG60+AG56+AG38+AG78</f>
        <v>1317.0900000000001</v>
      </c>
      <c r="AH79" s="226">
        <f t="shared" si="2"/>
        <v>1834.44</v>
      </c>
      <c r="AI79" s="227">
        <f t="shared" si="3"/>
        <v>1650.14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" si="26">B79-B87</f>
        <v>1272.44</v>
      </c>
      <c r="C80" s="263">
        <f t="shared" ref="C80:AF80" si="27">C79-C87</f>
        <v>1258.2400000000002</v>
      </c>
      <c r="D80" s="263">
        <f t="shared" si="27"/>
        <v>1231.94</v>
      </c>
      <c r="E80" s="263">
        <f t="shared" si="27"/>
        <v>1236.5400000000002</v>
      </c>
      <c r="F80" s="263">
        <f t="shared" si="27"/>
        <v>1255.6399999999999</v>
      </c>
      <c r="G80" s="263">
        <f t="shared" si="27"/>
        <v>1233.44</v>
      </c>
      <c r="H80" s="263">
        <f t="shared" si="27"/>
        <v>1244.1400000000001</v>
      </c>
      <c r="I80" s="263">
        <f t="shared" si="27"/>
        <v>1237.94</v>
      </c>
      <c r="J80" s="263">
        <f t="shared" si="27"/>
        <v>1291.54</v>
      </c>
      <c r="K80" s="263">
        <f t="shared" si="27"/>
        <v>1316.84</v>
      </c>
      <c r="L80" s="263">
        <f t="shared" si="27"/>
        <v>1394.94</v>
      </c>
      <c r="M80" s="263">
        <f t="shared" si="27"/>
        <v>1390.44</v>
      </c>
      <c r="N80" s="263">
        <f t="shared" si="27"/>
        <v>1397.64</v>
      </c>
      <c r="O80" s="263">
        <f t="shared" si="27"/>
        <v>1342.64</v>
      </c>
      <c r="P80" s="263">
        <f t="shared" si="27"/>
        <v>1442.64</v>
      </c>
      <c r="Q80" s="263">
        <f t="shared" si="27"/>
        <v>1397.64</v>
      </c>
      <c r="R80" s="263">
        <f t="shared" si="27"/>
        <v>1346.94</v>
      </c>
      <c r="S80" s="263">
        <f t="shared" si="27"/>
        <v>1404.34</v>
      </c>
      <c r="T80" s="263">
        <f t="shared" si="27"/>
        <v>1381.1399999999999</v>
      </c>
      <c r="U80" s="263">
        <f t="shared" si="27"/>
        <v>1410.7399999999998</v>
      </c>
      <c r="V80" s="263">
        <f t="shared" si="27"/>
        <v>1362.74</v>
      </c>
      <c r="W80" s="263">
        <f t="shared" si="27"/>
        <v>1332.9399999999998</v>
      </c>
      <c r="X80" s="263">
        <f t="shared" si="27"/>
        <v>1386.24</v>
      </c>
      <c r="Y80" s="263">
        <f t="shared" si="27"/>
        <v>1491.24</v>
      </c>
      <c r="Z80" s="263">
        <f t="shared" si="27"/>
        <v>1581.94</v>
      </c>
      <c r="AA80" s="263">
        <f t="shared" si="27"/>
        <v>1534.35</v>
      </c>
      <c r="AB80" s="263">
        <f t="shared" si="27"/>
        <v>1515.74</v>
      </c>
      <c r="AC80" s="263">
        <f t="shared" si="27"/>
        <v>1494.39</v>
      </c>
      <c r="AD80" s="263">
        <f t="shared" si="27"/>
        <v>1455.74</v>
      </c>
      <c r="AE80" s="263">
        <f t="shared" si="27"/>
        <v>1342.14</v>
      </c>
      <c r="AF80" s="263">
        <f t="shared" si="27"/>
        <v>1310.3400000000001</v>
      </c>
      <c r="AG80" s="261"/>
      <c r="AH80" s="226">
        <f t="shared" ref="AH80:AH97" si="28">MAX(B80:AF80)</f>
        <v>1581.94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 t="shared" ref="B81" si="29">IF(B64&lt;0,B64*-1,0)</f>
        <v>0</v>
      </c>
      <c r="C81" s="256">
        <f t="shared" ref="C81:AF81" si="30">IF(C64&lt;0,C64*-1,0)</f>
        <v>0</v>
      </c>
      <c r="D81" s="256">
        <f t="shared" si="30"/>
        <v>0</v>
      </c>
      <c r="E81" s="256">
        <f t="shared" si="30"/>
        <v>0</v>
      </c>
      <c r="F81" s="256">
        <f t="shared" si="30"/>
        <v>0</v>
      </c>
      <c r="G81" s="256">
        <f t="shared" si="30"/>
        <v>0</v>
      </c>
      <c r="H81" s="256">
        <f t="shared" si="30"/>
        <v>0</v>
      </c>
      <c r="I81" s="256">
        <f t="shared" si="30"/>
        <v>0</v>
      </c>
      <c r="J81" s="256">
        <f t="shared" si="30"/>
        <v>0</v>
      </c>
      <c r="K81" s="256">
        <f t="shared" si="30"/>
        <v>0</v>
      </c>
      <c r="L81" s="256">
        <f t="shared" si="30"/>
        <v>0</v>
      </c>
      <c r="M81" s="256">
        <f t="shared" si="30"/>
        <v>0</v>
      </c>
      <c r="N81" s="256">
        <f t="shared" si="30"/>
        <v>0</v>
      </c>
      <c r="O81" s="256">
        <f t="shared" si="30"/>
        <v>0</v>
      </c>
      <c r="P81" s="256">
        <f t="shared" si="30"/>
        <v>0</v>
      </c>
      <c r="Q81" s="256">
        <f t="shared" si="30"/>
        <v>0</v>
      </c>
      <c r="R81" s="256">
        <f t="shared" si="30"/>
        <v>0</v>
      </c>
      <c r="S81" s="256">
        <f t="shared" si="30"/>
        <v>0</v>
      </c>
      <c r="T81" s="256">
        <f t="shared" si="30"/>
        <v>0</v>
      </c>
      <c r="U81" s="256">
        <f t="shared" si="30"/>
        <v>0</v>
      </c>
      <c r="V81" s="256">
        <f t="shared" si="30"/>
        <v>0</v>
      </c>
      <c r="W81" s="256">
        <f t="shared" si="30"/>
        <v>0</v>
      </c>
      <c r="X81" s="256">
        <f t="shared" si="30"/>
        <v>0</v>
      </c>
      <c r="Y81" s="256">
        <f t="shared" si="30"/>
        <v>0</v>
      </c>
      <c r="Z81" s="256">
        <f t="shared" ref="Z81" si="31">IF(Z64&lt;0,-Z64,0)</f>
        <v>0</v>
      </c>
      <c r="AA81" s="256">
        <f t="shared" si="30"/>
        <v>0</v>
      </c>
      <c r="AB81" s="256">
        <f t="shared" si="30"/>
        <v>0</v>
      </c>
      <c r="AC81" s="256">
        <f t="shared" si="30"/>
        <v>0</v>
      </c>
      <c r="AD81" s="256">
        <f t="shared" si="30"/>
        <v>0</v>
      </c>
      <c r="AE81" s="256">
        <f t="shared" si="30"/>
        <v>0</v>
      </c>
      <c r="AF81" s="256">
        <f t="shared" si="30"/>
        <v>0</v>
      </c>
      <c r="AG81" s="230"/>
      <c r="AH81" s="226">
        <f t="shared" si="28"/>
        <v>0</v>
      </c>
      <c r="AI81" s="227">
        <f t="shared" ref="AI81:AI97" si="32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 t="shared" ref="B82" si="33">IF(B62&lt;0,B62*-1,0)</f>
        <v>0</v>
      </c>
      <c r="C82" s="256">
        <f t="shared" ref="C82:AF82" si="34">IF(C62&lt;0,C62*-1,0)</f>
        <v>0</v>
      </c>
      <c r="D82" s="256">
        <f t="shared" si="34"/>
        <v>0</v>
      </c>
      <c r="E82" s="256">
        <f t="shared" si="34"/>
        <v>0</v>
      </c>
      <c r="F82" s="256">
        <f t="shared" si="34"/>
        <v>0</v>
      </c>
      <c r="G82" s="256">
        <f t="shared" si="34"/>
        <v>0</v>
      </c>
      <c r="H82" s="256">
        <f t="shared" si="34"/>
        <v>0</v>
      </c>
      <c r="I82" s="256">
        <f t="shared" si="34"/>
        <v>0</v>
      </c>
      <c r="J82" s="256">
        <f t="shared" si="34"/>
        <v>0</v>
      </c>
      <c r="K82" s="256">
        <f t="shared" si="34"/>
        <v>0</v>
      </c>
      <c r="L82" s="256">
        <f t="shared" si="34"/>
        <v>0</v>
      </c>
      <c r="M82" s="256">
        <f t="shared" si="34"/>
        <v>0</v>
      </c>
      <c r="N82" s="256">
        <f t="shared" si="34"/>
        <v>0</v>
      </c>
      <c r="O82" s="256">
        <f t="shared" si="34"/>
        <v>0</v>
      </c>
      <c r="P82" s="256">
        <f t="shared" si="34"/>
        <v>0</v>
      </c>
      <c r="Q82" s="256">
        <f t="shared" si="34"/>
        <v>0</v>
      </c>
      <c r="R82" s="256">
        <f t="shared" si="34"/>
        <v>0</v>
      </c>
      <c r="S82" s="256">
        <f t="shared" si="34"/>
        <v>0</v>
      </c>
      <c r="T82" s="256">
        <f t="shared" si="34"/>
        <v>0</v>
      </c>
      <c r="U82" s="256">
        <f t="shared" si="34"/>
        <v>0</v>
      </c>
      <c r="V82" s="256">
        <f t="shared" si="34"/>
        <v>0</v>
      </c>
      <c r="W82" s="256">
        <f t="shared" si="34"/>
        <v>0</v>
      </c>
      <c r="X82" s="256">
        <f t="shared" si="34"/>
        <v>0</v>
      </c>
      <c r="Y82" s="256">
        <f t="shared" si="34"/>
        <v>0</v>
      </c>
      <c r="Z82" s="256">
        <f t="shared" ref="Z82" si="35">IF(Z62&lt;0,-Z62,0)</f>
        <v>0</v>
      </c>
      <c r="AA82" s="256">
        <f t="shared" si="34"/>
        <v>0</v>
      </c>
      <c r="AB82" s="256">
        <f t="shared" si="34"/>
        <v>0</v>
      </c>
      <c r="AC82" s="256">
        <f t="shared" si="34"/>
        <v>0</v>
      </c>
      <c r="AD82" s="256">
        <f t="shared" si="34"/>
        <v>0</v>
      </c>
      <c r="AE82" s="256">
        <f t="shared" si="34"/>
        <v>0</v>
      </c>
      <c r="AF82" s="256">
        <f t="shared" si="34"/>
        <v>0</v>
      </c>
      <c r="AG82" s="235"/>
      <c r="AH82" s="226">
        <f t="shared" si="28"/>
        <v>0</v>
      </c>
      <c r="AI82" s="227">
        <f t="shared" si="32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 t="shared" ref="B83" si="36">IF(B65&lt;0,B65*-1,0)</f>
        <v>0</v>
      </c>
      <c r="C83" s="256">
        <f t="shared" ref="C83:AF83" si="37">IF(C65&lt;0,C65*-1,0)</f>
        <v>0</v>
      </c>
      <c r="D83" s="256">
        <f t="shared" si="37"/>
        <v>0</v>
      </c>
      <c r="E83" s="256">
        <f t="shared" si="37"/>
        <v>0</v>
      </c>
      <c r="F83" s="256">
        <f t="shared" si="37"/>
        <v>0</v>
      </c>
      <c r="G83" s="256">
        <f t="shared" si="37"/>
        <v>0</v>
      </c>
      <c r="H83" s="256">
        <f t="shared" si="37"/>
        <v>0</v>
      </c>
      <c r="I83" s="256">
        <f t="shared" si="37"/>
        <v>0</v>
      </c>
      <c r="J83" s="256">
        <f t="shared" si="37"/>
        <v>0</v>
      </c>
      <c r="K83" s="256">
        <f t="shared" si="37"/>
        <v>0</v>
      </c>
      <c r="L83" s="256">
        <f t="shared" si="37"/>
        <v>0</v>
      </c>
      <c r="M83" s="256">
        <f t="shared" si="37"/>
        <v>0</v>
      </c>
      <c r="N83" s="256">
        <f t="shared" si="37"/>
        <v>0</v>
      </c>
      <c r="O83" s="256">
        <f t="shared" si="37"/>
        <v>0</v>
      </c>
      <c r="P83" s="256">
        <f t="shared" si="37"/>
        <v>0</v>
      </c>
      <c r="Q83" s="256">
        <f t="shared" si="37"/>
        <v>0</v>
      </c>
      <c r="R83" s="256">
        <f t="shared" si="37"/>
        <v>0</v>
      </c>
      <c r="S83" s="256">
        <f t="shared" si="37"/>
        <v>0</v>
      </c>
      <c r="T83" s="256">
        <f t="shared" si="37"/>
        <v>0</v>
      </c>
      <c r="U83" s="256">
        <f t="shared" si="37"/>
        <v>0</v>
      </c>
      <c r="V83" s="256">
        <f t="shared" si="37"/>
        <v>0</v>
      </c>
      <c r="W83" s="256">
        <f t="shared" si="37"/>
        <v>0</v>
      </c>
      <c r="X83" s="256">
        <f t="shared" si="37"/>
        <v>0</v>
      </c>
      <c r="Y83" s="256">
        <f t="shared" si="37"/>
        <v>0</v>
      </c>
      <c r="Z83" s="256">
        <f t="shared" ref="Z83" si="38">IF(Z65&lt;0,-Z65,0)</f>
        <v>0</v>
      </c>
      <c r="AA83" s="256">
        <f t="shared" si="37"/>
        <v>0</v>
      </c>
      <c r="AB83" s="256">
        <f t="shared" si="37"/>
        <v>0</v>
      </c>
      <c r="AC83" s="256">
        <f t="shared" si="37"/>
        <v>0</v>
      </c>
      <c r="AD83" s="256">
        <f t="shared" si="37"/>
        <v>0</v>
      </c>
      <c r="AE83" s="256">
        <f t="shared" si="37"/>
        <v>0</v>
      </c>
      <c r="AF83" s="256">
        <f t="shared" si="37"/>
        <v>0</v>
      </c>
      <c r="AG83" s="266"/>
      <c r="AH83" s="226">
        <f t="shared" si="28"/>
        <v>0</v>
      </c>
      <c r="AI83" s="227">
        <f t="shared" si="32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 t="shared" ref="B84" si="39">IF(B63&lt;0,B63*-1,0)</f>
        <v>432.2</v>
      </c>
      <c r="C84" s="256">
        <f t="shared" ref="C84:AF84" si="40">IF(C63&lt;0,C63*-1,0)</f>
        <v>445</v>
      </c>
      <c r="D84" s="256">
        <f t="shared" si="40"/>
        <v>423.1</v>
      </c>
      <c r="E84" s="256">
        <f t="shared" si="40"/>
        <v>423.2</v>
      </c>
      <c r="F84" s="256">
        <f t="shared" si="40"/>
        <v>414</v>
      </c>
      <c r="G84" s="256">
        <f t="shared" si="40"/>
        <v>416.7</v>
      </c>
      <c r="H84" s="256">
        <f t="shared" si="40"/>
        <v>443</v>
      </c>
      <c r="I84" s="256">
        <f t="shared" si="40"/>
        <v>450</v>
      </c>
      <c r="J84" s="256">
        <f t="shared" si="40"/>
        <v>449</v>
      </c>
      <c r="K84" s="256">
        <f t="shared" si="40"/>
        <v>423.8</v>
      </c>
      <c r="L84" s="256">
        <f t="shared" si="40"/>
        <v>391</v>
      </c>
      <c r="M84" s="256">
        <f t="shared" si="40"/>
        <v>406</v>
      </c>
      <c r="N84" s="256">
        <f t="shared" si="40"/>
        <v>401</v>
      </c>
      <c r="O84" s="256">
        <f t="shared" si="40"/>
        <v>380</v>
      </c>
      <c r="P84" s="256">
        <f t="shared" si="40"/>
        <v>356</v>
      </c>
      <c r="Q84" s="256">
        <f t="shared" si="40"/>
        <v>381</v>
      </c>
      <c r="R84" s="256">
        <f t="shared" si="40"/>
        <v>400</v>
      </c>
      <c r="S84" s="256">
        <f t="shared" si="40"/>
        <v>331.2</v>
      </c>
      <c r="T84" s="256">
        <f t="shared" si="40"/>
        <v>364</v>
      </c>
      <c r="U84" s="256">
        <f t="shared" si="40"/>
        <v>381</v>
      </c>
      <c r="V84" s="256">
        <f t="shared" si="40"/>
        <v>409</v>
      </c>
      <c r="W84" s="256">
        <f t="shared" si="40"/>
        <v>423.7</v>
      </c>
      <c r="X84" s="256">
        <f t="shared" si="40"/>
        <v>370.3</v>
      </c>
      <c r="Y84" s="256">
        <f t="shared" si="40"/>
        <v>287.8</v>
      </c>
      <c r="Z84" s="256">
        <f t="shared" ref="Z84" si="41">IF(Z63&lt;0,-Z63,0)</f>
        <v>252.5</v>
      </c>
      <c r="AA84" s="256">
        <f t="shared" si="40"/>
        <v>290.2</v>
      </c>
      <c r="AB84" s="256">
        <f t="shared" si="40"/>
        <v>310</v>
      </c>
      <c r="AC84" s="256">
        <f t="shared" si="40"/>
        <v>313</v>
      </c>
      <c r="AD84" s="256">
        <f t="shared" si="40"/>
        <v>335</v>
      </c>
      <c r="AE84" s="256">
        <f t="shared" si="40"/>
        <v>399</v>
      </c>
      <c r="AF84" s="256">
        <f t="shared" si="40"/>
        <v>409.8</v>
      </c>
      <c r="AG84" s="266"/>
      <c r="AH84" s="226">
        <f t="shared" si="28"/>
        <v>450</v>
      </c>
      <c r="AI84" s="227">
        <f t="shared" si="32"/>
        <v>252.5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 t="shared" ref="B85" si="42">IF(B61&lt;0,B61*-1,0)</f>
        <v>0</v>
      </c>
      <c r="C85" s="256">
        <f t="shared" ref="C85:AF85" si="43">IF(C61&lt;0,C61*-1,0)</f>
        <v>0</v>
      </c>
      <c r="D85" s="256">
        <f t="shared" si="43"/>
        <v>0</v>
      </c>
      <c r="E85" s="256">
        <f t="shared" si="43"/>
        <v>0</v>
      </c>
      <c r="F85" s="256">
        <f t="shared" si="43"/>
        <v>0</v>
      </c>
      <c r="G85" s="256">
        <f t="shared" si="43"/>
        <v>0</v>
      </c>
      <c r="H85" s="256">
        <f t="shared" si="43"/>
        <v>0</v>
      </c>
      <c r="I85" s="256">
        <f t="shared" si="43"/>
        <v>0</v>
      </c>
      <c r="J85" s="256">
        <f t="shared" si="43"/>
        <v>0</v>
      </c>
      <c r="K85" s="256">
        <f t="shared" si="43"/>
        <v>0</v>
      </c>
      <c r="L85" s="256">
        <f t="shared" si="43"/>
        <v>0</v>
      </c>
      <c r="M85" s="256">
        <f t="shared" si="43"/>
        <v>0</v>
      </c>
      <c r="N85" s="256">
        <f t="shared" si="43"/>
        <v>0</v>
      </c>
      <c r="O85" s="256">
        <f t="shared" si="43"/>
        <v>0</v>
      </c>
      <c r="P85" s="256">
        <f t="shared" si="43"/>
        <v>0</v>
      </c>
      <c r="Q85" s="256">
        <f t="shared" si="43"/>
        <v>0</v>
      </c>
      <c r="R85" s="256">
        <f t="shared" si="43"/>
        <v>0</v>
      </c>
      <c r="S85" s="256">
        <f t="shared" si="43"/>
        <v>0</v>
      </c>
      <c r="T85" s="256">
        <f t="shared" si="43"/>
        <v>0</v>
      </c>
      <c r="U85" s="256">
        <f t="shared" si="43"/>
        <v>0</v>
      </c>
      <c r="V85" s="256">
        <f t="shared" si="43"/>
        <v>0</v>
      </c>
      <c r="W85" s="256">
        <f t="shared" si="43"/>
        <v>0</v>
      </c>
      <c r="X85" s="256">
        <f t="shared" si="43"/>
        <v>0</v>
      </c>
      <c r="Y85" s="256">
        <f t="shared" si="43"/>
        <v>0</v>
      </c>
      <c r="Z85" s="256">
        <f t="shared" ref="Z85" si="44">IF(Z67&lt;0,-Z67,0)</f>
        <v>0</v>
      </c>
      <c r="AA85" s="256">
        <f t="shared" si="43"/>
        <v>0</v>
      </c>
      <c r="AB85" s="256">
        <f t="shared" si="43"/>
        <v>0</v>
      </c>
      <c r="AC85" s="256">
        <f t="shared" si="43"/>
        <v>0</v>
      </c>
      <c r="AD85" s="256">
        <f t="shared" si="43"/>
        <v>0</v>
      </c>
      <c r="AE85" s="256">
        <f t="shared" si="43"/>
        <v>0</v>
      </c>
      <c r="AF85" s="256">
        <f t="shared" si="43"/>
        <v>0</v>
      </c>
      <c r="AG85" s="266"/>
      <c r="AH85" s="226">
        <f t="shared" si="28"/>
        <v>0</v>
      </c>
      <c r="AI85" s="227">
        <f t="shared" si="32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28"/>
        <v>0</v>
      </c>
      <c r="AI86" s="227">
        <f t="shared" si="32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 t="shared" ref="B87" si="45">SUM(B81:B86)</f>
        <v>432.2</v>
      </c>
      <c r="C87" s="241">
        <f t="shared" ref="C87:AF87" si="46">SUM(C81:C86)</f>
        <v>445</v>
      </c>
      <c r="D87" s="241">
        <f t="shared" si="46"/>
        <v>423.1</v>
      </c>
      <c r="E87" s="241">
        <f t="shared" si="46"/>
        <v>423.2</v>
      </c>
      <c r="F87" s="241">
        <f t="shared" si="46"/>
        <v>414</v>
      </c>
      <c r="G87" s="241">
        <f t="shared" si="46"/>
        <v>416.7</v>
      </c>
      <c r="H87" s="241">
        <f t="shared" si="46"/>
        <v>443</v>
      </c>
      <c r="I87" s="241">
        <f t="shared" si="46"/>
        <v>450</v>
      </c>
      <c r="J87" s="241">
        <f t="shared" si="46"/>
        <v>449</v>
      </c>
      <c r="K87" s="241">
        <f t="shared" si="46"/>
        <v>423.8</v>
      </c>
      <c r="L87" s="241">
        <f t="shared" si="46"/>
        <v>391</v>
      </c>
      <c r="M87" s="241">
        <f t="shared" si="46"/>
        <v>406</v>
      </c>
      <c r="N87" s="241">
        <f t="shared" si="46"/>
        <v>401</v>
      </c>
      <c r="O87" s="241">
        <f t="shared" si="46"/>
        <v>380</v>
      </c>
      <c r="P87" s="241">
        <f t="shared" si="46"/>
        <v>356</v>
      </c>
      <c r="Q87" s="241">
        <f t="shared" si="46"/>
        <v>381</v>
      </c>
      <c r="R87" s="241">
        <f t="shared" si="46"/>
        <v>400</v>
      </c>
      <c r="S87" s="241">
        <f t="shared" si="46"/>
        <v>331.2</v>
      </c>
      <c r="T87" s="241">
        <f t="shared" si="46"/>
        <v>364</v>
      </c>
      <c r="U87" s="241">
        <f t="shared" si="46"/>
        <v>381</v>
      </c>
      <c r="V87" s="241">
        <f t="shared" si="46"/>
        <v>409</v>
      </c>
      <c r="W87" s="241">
        <f t="shared" si="46"/>
        <v>423.7</v>
      </c>
      <c r="X87" s="241">
        <f t="shared" si="46"/>
        <v>370.3</v>
      </c>
      <c r="Y87" s="241">
        <f t="shared" si="46"/>
        <v>287.8</v>
      </c>
      <c r="Z87" s="241">
        <f t="shared" si="46"/>
        <v>252.5</v>
      </c>
      <c r="AA87" s="241">
        <f t="shared" si="46"/>
        <v>290.2</v>
      </c>
      <c r="AB87" s="241">
        <f t="shared" si="46"/>
        <v>310</v>
      </c>
      <c r="AC87" s="241">
        <f t="shared" si="46"/>
        <v>313</v>
      </c>
      <c r="AD87" s="241">
        <f t="shared" si="46"/>
        <v>335</v>
      </c>
      <c r="AE87" s="241">
        <f t="shared" si="46"/>
        <v>399</v>
      </c>
      <c r="AF87" s="241">
        <f t="shared" si="46"/>
        <v>409.8</v>
      </c>
      <c r="AG87" s="261"/>
      <c r="AH87" s="226">
        <f t="shared" si="28"/>
        <v>450</v>
      </c>
      <c r="AI87" s="227">
        <f t="shared" si="32"/>
        <v>252.5</v>
      </c>
      <c r="AK87" s="228"/>
    </row>
    <row r="88" spans="1:88" s="175" customFormat="1" ht="15.75" thickBot="1" x14ac:dyDescent="0.3">
      <c r="A88" s="254" t="s">
        <v>93</v>
      </c>
      <c r="B88" s="241">
        <f t="shared" ref="B88" si="47">B72-B87</f>
        <v>-408</v>
      </c>
      <c r="C88" s="241">
        <f t="shared" ref="C88:AF88" si="48">C72-C87</f>
        <v>-440</v>
      </c>
      <c r="D88" s="241">
        <f t="shared" si="48"/>
        <v>-418.1</v>
      </c>
      <c r="E88" s="241">
        <f t="shared" si="48"/>
        <v>-418.2</v>
      </c>
      <c r="F88" s="241">
        <f t="shared" si="48"/>
        <v>-414</v>
      </c>
      <c r="G88" s="241">
        <f t="shared" si="48"/>
        <v>-416.7</v>
      </c>
      <c r="H88" s="241">
        <f t="shared" si="48"/>
        <v>-443</v>
      </c>
      <c r="I88" s="241">
        <f t="shared" si="48"/>
        <v>-450</v>
      </c>
      <c r="J88" s="241">
        <f t="shared" si="48"/>
        <v>-449</v>
      </c>
      <c r="K88" s="241">
        <f t="shared" si="48"/>
        <v>-423.8</v>
      </c>
      <c r="L88" s="241">
        <f t="shared" si="48"/>
        <v>-391</v>
      </c>
      <c r="M88" s="241">
        <f t="shared" si="48"/>
        <v>-406</v>
      </c>
      <c r="N88" s="241">
        <f t="shared" si="48"/>
        <v>-401</v>
      </c>
      <c r="O88" s="241">
        <f t="shared" si="48"/>
        <v>-380</v>
      </c>
      <c r="P88" s="241">
        <f t="shared" si="48"/>
        <v>-356</v>
      </c>
      <c r="Q88" s="241">
        <f t="shared" si="48"/>
        <v>-381</v>
      </c>
      <c r="R88" s="241">
        <f t="shared" si="48"/>
        <v>-400</v>
      </c>
      <c r="S88" s="241">
        <f t="shared" si="48"/>
        <v>-331.2</v>
      </c>
      <c r="T88" s="241">
        <f t="shared" si="48"/>
        <v>-364</v>
      </c>
      <c r="U88" s="241">
        <f t="shared" si="48"/>
        <v>-381</v>
      </c>
      <c r="V88" s="241">
        <f t="shared" si="48"/>
        <v>-409</v>
      </c>
      <c r="W88" s="241">
        <f t="shared" si="48"/>
        <v>-423.7</v>
      </c>
      <c r="X88" s="241">
        <f t="shared" si="48"/>
        <v>-370.3</v>
      </c>
      <c r="Y88" s="241">
        <f t="shared" si="48"/>
        <v>-265.3</v>
      </c>
      <c r="Z88" s="241">
        <f t="shared" si="48"/>
        <v>-181.2</v>
      </c>
      <c r="AA88" s="241">
        <f t="shared" si="48"/>
        <v>-246.48999999999998</v>
      </c>
      <c r="AB88" s="241">
        <f t="shared" si="48"/>
        <v>-264</v>
      </c>
      <c r="AC88" s="241">
        <f t="shared" si="48"/>
        <v>-284.35000000000002</v>
      </c>
      <c r="AD88" s="241">
        <f t="shared" si="48"/>
        <v>-323</v>
      </c>
      <c r="AE88" s="241">
        <f t="shared" si="48"/>
        <v>-395</v>
      </c>
      <c r="AF88" s="241">
        <f t="shared" si="48"/>
        <v>-405.8</v>
      </c>
      <c r="AG88" s="261"/>
      <c r="AH88" s="226">
        <f t="shared" si="28"/>
        <v>-181.2</v>
      </c>
      <c r="AI88" s="227">
        <f t="shared" si="32"/>
        <v>-450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49.981999999999999</v>
      </c>
      <c r="C89" s="269">
        <v>50.023000000000003</v>
      </c>
      <c r="D89" s="269">
        <v>49.883000000000003</v>
      </c>
      <c r="E89" s="269">
        <v>49.948999999999998</v>
      </c>
      <c r="F89" s="269">
        <v>50.048000000000002</v>
      </c>
      <c r="G89" s="269">
        <v>50.048000000000002</v>
      </c>
      <c r="H89" s="269">
        <v>49.970999999999997</v>
      </c>
      <c r="I89" s="269">
        <v>50.015999999999998</v>
      </c>
      <c r="J89" s="269">
        <v>49.89</v>
      </c>
      <c r="K89" s="269">
        <v>49.832000000000001</v>
      </c>
      <c r="L89" s="269">
        <v>49.896999999999998</v>
      </c>
      <c r="M89" s="269">
        <v>50.069000000000003</v>
      </c>
      <c r="N89" s="269">
        <v>50.4</v>
      </c>
      <c r="O89" s="269">
        <v>50.4</v>
      </c>
      <c r="P89" s="269">
        <v>50.021999999999998</v>
      </c>
      <c r="Q89" s="269">
        <v>49.945</v>
      </c>
      <c r="R89" s="269">
        <v>49.917000000000002</v>
      </c>
      <c r="S89" s="269">
        <v>49.984000000000002</v>
      </c>
      <c r="T89" s="269">
        <v>50.033999999999999</v>
      </c>
      <c r="U89" s="269">
        <v>50.036000000000001</v>
      </c>
      <c r="V89" s="269">
        <v>50.07</v>
      </c>
      <c r="W89" s="269">
        <v>50.023000000000003</v>
      </c>
      <c r="X89" s="269">
        <v>49.994999999999997</v>
      </c>
      <c r="Y89" s="269">
        <v>49.944000000000003</v>
      </c>
      <c r="Z89" s="269">
        <v>49.973999999999997</v>
      </c>
      <c r="AA89" s="269">
        <v>50.036000000000001</v>
      </c>
      <c r="AB89" s="269">
        <v>50.07</v>
      </c>
      <c r="AC89" s="269">
        <v>50</v>
      </c>
      <c r="AD89" s="269">
        <v>50</v>
      </c>
      <c r="AE89" s="269">
        <v>50</v>
      </c>
      <c r="AF89" s="269">
        <v>50.05</v>
      </c>
      <c r="AG89" s="270"/>
      <c r="AH89" s="226">
        <f t="shared" si="28"/>
        <v>50.4</v>
      </c>
      <c r="AI89" s="227">
        <f t="shared" si="32"/>
        <v>49.832000000000001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123.8</v>
      </c>
      <c r="C90" s="245">
        <v>124.1</v>
      </c>
      <c r="D90" s="245">
        <v>125.2</v>
      </c>
      <c r="E90" s="245">
        <v>124.2</v>
      </c>
      <c r="F90" s="245">
        <v>125.6</v>
      </c>
      <c r="G90" s="245">
        <v>125.4</v>
      </c>
      <c r="H90" s="245">
        <v>125.2</v>
      </c>
      <c r="I90" s="245">
        <v>125.2</v>
      </c>
      <c r="J90" s="245">
        <v>123</v>
      </c>
      <c r="K90" s="245">
        <v>123.7</v>
      </c>
      <c r="L90" s="245">
        <v>121.5</v>
      </c>
      <c r="M90" s="245">
        <v>122</v>
      </c>
      <c r="N90" s="245">
        <v>123.7</v>
      </c>
      <c r="O90" s="245">
        <v>123.7</v>
      </c>
      <c r="P90" s="245">
        <v>123.7</v>
      </c>
      <c r="Q90" s="245">
        <v>123</v>
      </c>
      <c r="R90" s="245">
        <v>123</v>
      </c>
      <c r="S90" s="245">
        <v>122</v>
      </c>
      <c r="T90" s="245">
        <v>122.8</v>
      </c>
      <c r="U90" s="245">
        <v>124</v>
      </c>
      <c r="V90" s="245">
        <v>124.7</v>
      </c>
      <c r="W90" s="245">
        <v>124.9</v>
      </c>
      <c r="X90" s="245">
        <v>124.6</v>
      </c>
      <c r="Y90" s="245">
        <v>123.5</v>
      </c>
      <c r="Z90" s="245">
        <v>124</v>
      </c>
      <c r="AA90" s="245">
        <v>124.8</v>
      </c>
      <c r="AB90" s="245">
        <v>125.9</v>
      </c>
      <c r="AC90" s="245">
        <v>124.6</v>
      </c>
      <c r="AD90" s="245">
        <v>124.6</v>
      </c>
      <c r="AE90" s="245">
        <v>125.96</v>
      </c>
      <c r="AF90" s="245">
        <v>125.96</v>
      </c>
      <c r="AG90" s="272"/>
      <c r="AH90" s="226">
        <f t="shared" si="28"/>
        <v>125.96</v>
      </c>
      <c r="AI90" s="227">
        <f t="shared" si="32"/>
        <v>121.5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129</v>
      </c>
      <c r="C91" s="245">
        <v>129.4</v>
      </c>
      <c r="D91" s="245">
        <v>130</v>
      </c>
      <c r="E91" s="245">
        <v>130.1</v>
      </c>
      <c r="F91" s="245">
        <v>130.6</v>
      </c>
      <c r="G91" s="245">
        <v>130.19999999999999</v>
      </c>
      <c r="H91" s="245">
        <v>130.1</v>
      </c>
      <c r="I91" s="245">
        <v>129.5</v>
      </c>
      <c r="J91" s="245">
        <v>127.7</v>
      </c>
      <c r="K91" s="245">
        <v>127.4</v>
      </c>
      <c r="L91" s="245">
        <v>126.1</v>
      </c>
      <c r="M91" s="245">
        <v>129</v>
      </c>
      <c r="N91" s="245">
        <v>127</v>
      </c>
      <c r="O91" s="245">
        <v>127</v>
      </c>
      <c r="P91" s="245">
        <v>127</v>
      </c>
      <c r="Q91" s="245">
        <v>127</v>
      </c>
      <c r="R91" s="245">
        <v>127</v>
      </c>
      <c r="S91" s="245">
        <v>124.8</v>
      </c>
      <c r="T91" s="245">
        <v>125.9</v>
      </c>
      <c r="U91" s="245">
        <v>128</v>
      </c>
      <c r="V91" s="245">
        <v>128.1</v>
      </c>
      <c r="W91" s="245">
        <v>128.4</v>
      </c>
      <c r="X91" s="245">
        <v>127.8</v>
      </c>
      <c r="Y91" s="245">
        <v>126.6</v>
      </c>
      <c r="Z91" s="245">
        <v>127.5</v>
      </c>
      <c r="AA91" s="245">
        <v>128.1</v>
      </c>
      <c r="AB91" s="245">
        <v>129.5</v>
      </c>
      <c r="AC91" s="245">
        <v>128.4</v>
      </c>
      <c r="AD91" s="245">
        <v>128.4</v>
      </c>
      <c r="AE91" s="245">
        <v>130</v>
      </c>
      <c r="AF91" s="245">
        <v>130</v>
      </c>
      <c r="AG91" s="272"/>
      <c r="AH91" s="226">
        <f t="shared" si="28"/>
        <v>130.6</v>
      </c>
      <c r="AI91" s="227">
        <f t="shared" si="32"/>
        <v>124.8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129.4</v>
      </c>
      <c r="C92" s="245">
        <v>130.30000000000001</v>
      </c>
      <c r="D92" s="245">
        <v>130.69999999999999</v>
      </c>
      <c r="E92" s="245">
        <v>129.9</v>
      </c>
      <c r="F92" s="245">
        <v>129.9</v>
      </c>
      <c r="G92" s="245">
        <v>129</v>
      </c>
      <c r="H92" s="245">
        <v>130</v>
      </c>
      <c r="I92" s="245">
        <v>129.19999999999999</v>
      </c>
      <c r="J92" s="245">
        <v>127.3</v>
      </c>
      <c r="K92" s="245">
        <v>128.69999999999999</v>
      </c>
      <c r="L92" s="245">
        <v>126</v>
      </c>
      <c r="M92" s="245">
        <v>129</v>
      </c>
      <c r="N92" s="245">
        <v>127.9</v>
      </c>
      <c r="O92" s="245">
        <v>127.9</v>
      </c>
      <c r="P92" s="245">
        <v>127.9</v>
      </c>
      <c r="Q92" s="245">
        <v>130</v>
      </c>
      <c r="R92" s="245">
        <v>130</v>
      </c>
      <c r="S92" s="245">
        <v>127.9</v>
      </c>
      <c r="T92" s="245">
        <v>129.4</v>
      </c>
      <c r="U92" s="245">
        <v>127.9</v>
      </c>
      <c r="V92" s="245">
        <v>130.4</v>
      </c>
      <c r="W92" s="245">
        <v>129</v>
      </c>
      <c r="X92" s="245">
        <v>129.9</v>
      </c>
      <c r="Y92" s="245">
        <v>128.19999999999999</v>
      </c>
      <c r="Z92" s="245">
        <v>129.19999999999999</v>
      </c>
      <c r="AA92" s="245">
        <v>131.5</v>
      </c>
      <c r="AB92" s="245">
        <v>129.9</v>
      </c>
      <c r="AC92" s="245">
        <v>129</v>
      </c>
      <c r="AD92" s="245">
        <v>129</v>
      </c>
      <c r="AE92" s="245">
        <v>130</v>
      </c>
      <c r="AF92" s="245">
        <v>130</v>
      </c>
      <c r="AG92" s="272"/>
      <c r="AH92" s="226">
        <f t="shared" si="28"/>
        <v>131.5</v>
      </c>
      <c r="AI92" s="227">
        <f t="shared" si="32"/>
        <v>126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131.69999999999999</v>
      </c>
      <c r="C93" s="245">
        <v>132</v>
      </c>
      <c r="D93" s="245">
        <v>132.80000000000001</v>
      </c>
      <c r="E93" s="245">
        <v>132.6</v>
      </c>
      <c r="F93" s="245">
        <v>132.6</v>
      </c>
      <c r="G93" s="245">
        <v>132.19999999999999</v>
      </c>
      <c r="H93" s="245">
        <v>132.5</v>
      </c>
      <c r="I93" s="245">
        <v>131.80000000000001</v>
      </c>
      <c r="J93" s="245">
        <v>130.19999999999999</v>
      </c>
      <c r="K93" s="245">
        <v>133.9</v>
      </c>
      <c r="L93" s="245">
        <v>131.1</v>
      </c>
      <c r="M93" s="245">
        <v>134</v>
      </c>
      <c r="N93" s="245">
        <v>131.9</v>
      </c>
      <c r="O93" s="245">
        <v>131.9</v>
      </c>
      <c r="P93" s="245">
        <v>131.9</v>
      </c>
      <c r="Q93" s="245">
        <v>133</v>
      </c>
      <c r="R93" s="245">
        <v>133</v>
      </c>
      <c r="S93" s="245">
        <v>131.80000000000001</v>
      </c>
      <c r="T93" s="245">
        <v>132.4</v>
      </c>
      <c r="U93" s="245">
        <v>131.69999999999999</v>
      </c>
      <c r="V93" s="245">
        <v>133.4</v>
      </c>
      <c r="W93" s="245">
        <v>132.80000000000001</v>
      </c>
      <c r="X93" s="245">
        <v>127.6</v>
      </c>
      <c r="Y93" s="245">
        <v>131.5</v>
      </c>
      <c r="Z93" s="245">
        <v>132.9</v>
      </c>
      <c r="AA93" s="245">
        <v>132.80000000000001</v>
      </c>
      <c r="AB93" s="245">
        <v>132</v>
      </c>
      <c r="AC93" s="245">
        <v>131.9</v>
      </c>
      <c r="AD93" s="245">
        <v>131.9</v>
      </c>
      <c r="AE93" s="245">
        <v>133</v>
      </c>
      <c r="AF93" s="245">
        <v>133</v>
      </c>
      <c r="AG93" s="272"/>
      <c r="AH93" s="226">
        <f t="shared" si="28"/>
        <v>134</v>
      </c>
      <c r="AI93" s="227">
        <f t="shared" si="32"/>
        <v>127.6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133.1</v>
      </c>
      <c r="C94" s="274">
        <v>132.5</v>
      </c>
      <c r="D94" s="274">
        <v>133.80000000000001</v>
      </c>
      <c r="E94" s="274">
        <v>134.80000000000001</v>
      </c>
      <c r="F94" s="274">
        <v>131.5</v>
      </c>
      <c r="G94" s="274">
        <v>131.6</v>
      </c>
      <c r="H94" s="274">
        <v>132.9</v>
      </c>
      <c r="I94" s="274">
        <v>135.30000000000001</v>
      </c>
      <c r="J94" s="274">
        <v>131.69999999999999</v>
      </c>
      <c r="K94" s="274">
        <v>131.19999999999999</v>
      </c>
      <c r="L94" s="274">
        <v>130.5</v>
      </c>
      <c r="M94" s="274">
        <v>131</v>
      </c>
      <c r="N94" s="274">
        <v>132</v>
      </c>
      <c r="O94" s="274">
        <v>132</v>
      </c>
      <c r="P94" s="274">
        <v>132</v>
      </c>
      <c r="Q94" s="274">
        <v>133</v>
      </c>
      <c r="R94" s="274">
        <v>133</v>
      </c>
      <c r="S94" s="274">
        <v>130.30000000000001</v>
      </c>
      <c r="T94" s="274">
        <v>134.5</v>
      </c>
      <c r="U94" s="274">
        <v>134</v>
      </c>
      <c r="V94" s="274">
        <v>134.19999999999999</v>
      </c>
      <c r="W94" s="274">
        <v>131.30000000000001</v>
      </c>
      <c r="X94" s="274">
        <v>131.6</v>
      </c>
      <c r="Y94" s="274">
        <v>131.1</v>
      </c>
      <c r="Z94" s="274">
        <v>132.1</v>
      </c>
      <c r="AA94" s="274">
        <v>135</v>
      </c>
      <c r="AB94" s="274">
        <v>133</v>
      </c>
      <c r="AC94" s="274">
        <v>129.69999999999999</v>
      </c>
      <c r="AD94" s="274">
        <v>129.69999999999999</v>
      </c>
      <c r="AE94" s="274">
        <v>131.80000000000001</v>
      </c>
      <c r="AF94" s="274">
        <v>131.80000000000001</v>
      </c>
      <c r="AG94" s="275"/>
      <c r="AH94" s="226">
        <f t="shared" si="28"/>
        <v>135.30000000000001</v>
      </c>
      <c r="AI94" s="227">
        <f t="shared" si="32"/>
        <v>129.69999999999999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129.4</v>
      </c>
      <c r="C95" s="245">
        <v>130.6</v>
      </c>
      <c r="D95" s="245">
        <v>129.9</v>
      </c>
      <c r="E95" s="245">
        <v>131.19999999999999</v>
      </c>
      <c r="F95" s="245">
        <v>127.1</v>
      </c>
      <c r="G95" s="245">
        <v>127</v>
      </c>
      <c r="H95" s="245">
        <v>129</v>
      </c>
      <c r="I95" s="245">
        <v>135.4</v>
      </c>
      <c r="J95" s="245">
        <v>127.2</v>
      </c>
      <c r="K95" s="245">
        <v>125.8</v>
      </c>
      <c r="L95" s="245">
        <v>126.9</v>
      </c>
      <c r="M95" s="245">
        <v>127</v>
      </c>
      <c r="N95" s="245">
        <v>127.4</v>
      </c>
      <c r="O95" s="245">
        <v>127.4</v>
      </c>
      <c r="P95" s="245">
        <v>127.4</v>
      </c>
      <c r="Q95" s="245">
        <v>128</v>
      </c>
      <c r="R95" s="245">
        <v>128</v>
      </c>
      <c r="S95" s="245">
        <v>123.8</v>
      </c>
      <c r="T95" s="245">
        <v>128.30000000000001</v>
      </c>
      <c r="U95" s="245">
        <v>127</v>
      </c>
      <c r="V95" s="245">
        <v>131.80000000000001</v>
      </c>
      <c r="W95" s="245">
        <v>130.19999999999999</v>
      </c>
      <c r="X95" s="245">
        <v>127.2</v>
      </c>
      <c r="Y95" s="245">
        <v>125.9</v>
      </c>
      <c r="Z95" s="245">
        <v>131</v>
      </c>
      <c r="AA95" s="245">
        <v>134.19999999999999</v>
      </c>
      <c r="AB95" s="245">
        <v>131</v>
      </c>
      <c r="AC95" s="245">
        <v>127</v>
      </c>
      <c r="AD95" s="245">
        <v>127</v>
      </c>
      <c r="AE95" s="245">
        <v>128.69999999999999</v>
      </c>
      <c r="AF95" s="245">
        <v>128.69999999999999</v>
      </c>
      <c r="AG95" s="272"/>
      <c r="AH95" s="226">
        <f t="shared" si="28"/>
        <v>135.4</v>
      </c>
      <c r="AI95" s="227">
        <f t="shared" si="32"/>
        <v>123.8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65.099999999999994</v>
      </c>
      <c r="C96" s="276">
        <v>65.400000000000006</v>
      </c>
      <c r="D96" s="276">
        <v>65.7</v>
      </c>
      <c r="E96" s="276">
        <v>65.599999999999994</v>
      </c>
      <c r="F96" s="276">
        <v>65.900000000000006</v>
      </c>
      <c r="G96" s="276">
        <v>65.7</v>
      </c>
      <c r="H96" s="276">
        <v>65.7</v>
      </c>
      <c r="I96" s="276">
        <v>65.2</v>
      </c>
      <c r="J96" s="276">
        <v>64.3</v>
      </c>
      <c r="K96" s="276">
        <v>64.2</v>
      </c>
      <c r="L96" s="276">
        <v>63.4</v>
      </c>
      <c r="M96" s="276">
        <v>64</v>
      </c>
      <c r="N96" s="276">
        <v>64.2</v>
      </c>
      <c r="O96" s="276">
        <v>64.2</v>
      </c>
      <c r="P96" s="276">
        <v>64.2</v>
      </c>
      <c r="Q96" s="276">
        <v>64</v>
      </c>
      <c r="R96" s="276">
        <v>64</v>
      </c>
      <c r="S96" s="276">
        <v>62.8</v>
      </c>
      <c r="T96" s="276">
        <v>63.3</v>
      </c>
      <c r="U96" s="276">
        <v>64.400000000000006</v>
      </c>
      <c r="V96" s="276">
        <v>64.5</v>
      </c>
      <c r="W96" s="276">
        <v>64.7</v>
      </c>
      <c r="X96" s="276">
        <v>64.099999999999994</v>
      </c>
      <c r="Y96" s="276">
        <v>63.8</v>
      </c>
      <c r="Z96" s="276">
        <v>64.599999999999994</v>
      </c>
      <c r="AA96" s="276">
        <v>64.7</v>
      </c>
      <c r="AB96" s="276">
        <v>65.400000000000006</v>
      </c>
      <c r="AC96" s="276">
        <v>64.900000000000006</v>
      </c>
      <c r="AD96" s="276">
        <v>64.900000000000006</v>
      </c>
      <c r="AE96" s="276">
        <v>65.7</v>
      </c>
      <c r="AF96" s="276">
        <v>65.7</v>
      </c>
      <c r="AG96" s="277"/>
      <c r="AH96" s="226">
        <f t="shared" si="28"/>
        <v>65.900000000000006</v>
      </c>
      <c r="AI96" s="227">
        <f t="shared" si="32"/>
        <v>62.8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 t="str">
        <f t="shared" ref="Z97" si="49">IF(AC80=MAX($B$81:$G$81),"PN","")</f>
        <v/>
      </c>
      <c r="AA97" s="276"/>
      <c r="AB97" s="276"/>
      <c r="AC97" s="276"/>
      <c r="AD97" s="276"/>
      <c r="AE97" s="276"/>
      <c r="AF97" s="276"/>
      <c r="AG97" s="277"/>
      <c r="AH97" s="226">
        <f t="shared" si="28"/>
        <v>0</v>
      </c>
      <c r="AI97" s="227">
        <f t="shared" si="32"/>
        <v>0</v>
      </c>
    </row>
    <row r="98" spans="1:37" ht="15.75" thickBot="1" x14ac:dyDescent="0.3">
      <c r="A98" s="279" t="s">
        <v>102</v>
      </c>
      <c r="B98" s="280">
        <f t="shared" ref="B98" si="50">SUM(B15,B18,B21:B22,B46,B48:B49,B51,B53,B99:B103,B125,B131,B137,B146,B148,B160,B167,B170:B171,B178,B180,B182,B186:B188,B190:B192,B197,B203:B204,B206:B208,B216,B221)</f>
        <v>49.499999999999993</v>
      </c>
      <c r="C98" s="280">
        <f t="shared" ref="C98:AF98" si="51">SUM(C15,C18,C21:C22,C46,C48:C49,C51,C53,C99:C103,C125,C131,C137,C146,C148,C160,C167,C170:C171,C178,C180,C182,C186:C188,C190:C192,C197,C203:C204,C206:C208,C216,C221)</f>
        <v>40.239999999999995</v>
      </c>
      <c r="D98" s="280">
        <f t="shared" si="51"/>
        <v>30.739999999999977</v>
      </c>
      <c r="E98" s="280">
        <f t="shared" si="51"/>
        <v>31.239999999999963</v>
      </c>
      <c r="F98" s="280">
        <f t="shared" si="51"/>
        <v>30.739999999999984</v>
      </c>
      <c r="G98" s="280">
        <f t="shared" si="51"/>
        <v>47.940000000000012</v>
      </c>
      <c r="H98" s="280">
        <f t="shared" si="51"/>
        <v>68.540000000000006</v>
      </c>
      <c r="I98" s="280">
        <f t="shared" si="51"/>
        <v>98.54</v>
      </c>
      <c r="J98" s="280">
        <f t="shared" si="51"/>
        <v>144.44</v>
      </c>
      <c r="K98" s="280">
        <f t="shared" si="51"/>
        <v>169.64</v>
      </c>
      <c r="L98" s="280">
        <f t="shared" si="51"/>
        <v>234.04000000000002</v>
      </c>
      <c r="M98" s="280">
        <f t="shared" si="51"/>
        <v>240.83999999999997</v>
      </c>
      <c r="N98" s="280">
        <f t="shared" si="51"/>
        <v>220.83999999999997</v>
      </c>
      <c r="O98" s="280">
        <f t="shared" si="51"/>
        <v>220.83999999999997</v>
      </c>
      <c r="P98" s="280">
        <f t="shared" si="51"/>
        <v>229.84000000000003</v>
      </c>
      <c r="Q98" s="280">
        <f t="shared" si="51"/>
        <v>205.79999999999998</v>
      </c>
      <c r="R98" s="280">
        <f t="shared" si="51"/>
        <v>198.9</v>
      </c>
      <c r="S98" s="280">
        <f t="shared" si="51"/>
        <v>208.8</v>
      </c>
      <c r="T98" s="280">
        <f t="shared" si="51"/>
        <v>195.2</v>
      </c>
      <c r="U98" s="280">
        <f t="shared" si="51"/>
        <v>210.09999999999997</v>
      </c>
      <c r="V98" s="280">
        <f t="shared" si="51"/>
        <v>193.1</v>
      </c>
      <c r="W98" s="280">
        <f t="shared" si="51"/>
        <v>188.1</v>
      </c>
      <c r="X98" s="280">
        <f t="shared" si="51"/>
        <v>214.10000000000002</v>
      </c>
      <c r="Y98" s="280">
        <f t="shared" si="51"/>
        <v>248.10000000000002</v>
      </c>
      <c r="Z98" s="280">
        <f t="shared" ref="Z98" si="52">SUM(Z142,Z99:Z102,Z12,Z16,Z22,Z28,Z29,Z46,Z48:Z49,Z51,Z53)</f>
        <v>206.4</v>
      </c>
      <c r="AA98" s="280">
        <f t="shared" si="51"/>
        <v>240.70000000000002</v>
      </c>
      <c r="AB98" s="280">
        <f t="shared" si="51"/>
        <v>217.49999999999997</v>
      </c>
      <c r="AC98" s="280">
        <f t="shared" si="51"/>
        <v>205.5</v>
      </c>
      <c r="AD98" s="280">
        <f t="shared" si="51"/>
        <v>166.50000000000003</v>
      </c>
      <c r="AE98" s="280">
        <f t="shared" si="51"/>
        <v>109.50000000000001</v>
      </c>
      <c r="AF98" s="280">
        <f t="shared" si="51"/>
        <v>71.800000000000011</v>
      </c>
      <c r="AG98" s="281"/>
      <c r="AH98" s="226">
        <f>MAX(C98:AF98)</f>
        <v>248.10000000000002</v>
      </c>
      <c r="AI98" s="227">
        <f>MIN(C98:AF98)</f>
        <v>30.739999999999977</v>
      </c>
    </row>
    <row r="99" spans="1:37" x14ac:dyDescent="0.25">
      <c r="A99" s="268" t="s">
        <v>103</v>
      </c>
      <c r="B99" s="282">
        <v>8.6999999999999993</v>
      </c>
      <c r="C99" s="282">
        <v>9.1</v>
      </c>
      <c r="D99" s="282">
        <v>8.6999999999999993</v>
      </c>
      <c r="E99" s="282">
        <v>4.0999999999999996</v>
      </c>
      <c r="F99" s="282">
        <v>3.9</v>
      </c>
      <c r="G99" s="282">
        <v>5</v>
      </c>
      <c r="H99" s="282">
        <v>13.4</v>
      </c>
      <c r="I99" s="282">
        <v>18.600000000000001</v>
      </c>
      <c r="J99" s="282">
        <v>24.3</v>
      </c>
      <c r="K99" s="282">
        <v>26.7</v>
      </c>
      <c r="L99" s="282">
        <v>29.2</v>
      </c>
      <c r="M99" s="282">
        <v>32</v>
      </c>
      <c r="N99" s="282">
        <v>25.9</v>
      </c>
      <c r="O99" s="282">
        <v>25.9</v>
      </c>
      <c r="P99" s="282">
        <v>22</v>
      </c>
      <c r="Q99" s="282">
        <v>23</v>
      </c>
      <c r="R99" s="282">
        <v>26</v>
      </c>
      <c r="S99" s="282">
        <v>28</v>
      </c>
      <c r="T99" s="282">
        <v>33.6</v>
      </c>
      <c r="U99" s="282">
        <v>26</v>
      </c>
      <c r="V99" s="282">
        <v>28.6</v>
      </c>
      <c r="W99" s="282">
        <v>28.8</v>
      </c>
      <c r="X99" s="282">
        <v>29.7</v>
      </c>
      <c r="Y99" s="282">
        <v>30.5</v>
      </c>
      <c r="Z99" s="282">
        <v>24.2</v>
      </c>
      <c r="AA99" s="282">
        <v>26.3</v>
      </c>
      <c r="AB99" s="282">
        <v>22.5</v>
      </c>
      <c r="AC99" s="282">
        <v>20.7</v>
      </c>
      <c r="AD99" s="282">
        <v>19</v>
      </c>
      <c r="AE99" s="282">
        <v>17.399999999999999</v>
      </c>
      <c r="AF99" s="282">
        <v>8.1</v>
      </c>
      <c r="AG99" s="283">
        <v>75</v>
      </c>
      <c r="AH99" s="226">
        <f t="shared" ref="AH99:AH107" si="53">IF(ABS(MAX(C99:AF99))&gt;ABS(MIN(C99:AF99)),MAX(C99:AF99),MIN(C99:AF99))</f>
        <v>33.6</v>
      </c>
      <c r="AI99" s="284">
        <f t="shared" ref="AI99:AI107" si="54">INDEX($C$9:$AF$9,1,MATCH(AH99,C99:AF99,0))</f>
        <v>0.625</v>
      </c>
    </row>
    <row r="100" spans="1:37" x14ac:dyDescent="0.25">
      <c r="A100" s="271" t="s">
        <v>269</v>
      </c>
      <c r="B100" s="285">
        <v>25</v>
      </c>
      <c r="C100" s="285">
        <v>26</v>
      </c>
      <c r="D100" s="285">
        <v>25.1</v>
      </c>
      <c r="E100" s="285">
        <v>19.100000000000001</v>
      </c>
      <c r="F100" s="285">
        <v>19.100000000000001</v>
      </c>
      <c r="G100" s="285">
        <v>18.399999999999999</v>
      </c>
      <c r="H100" s="285">
        <v>26.1</v>
      </c>
      <c r="I100" s="285">
        <v>32</v>
      </c>
      <c r="J100" s="285">
        <v>39.299999999999997</v>
      </c>
      <c r="K100" s="285">
        <v>41.4</v>
      </c>
      <c r="L100" s="285">
        <v>46.7</v>
      </c>
      <c r="M100" s="285">
        <v>50</v>
      </c>
      <c r="N100" s="285">
        <v>40.9</v>
      </c>
      <c r="O100" s="285">
        <v>40.9</v>
      </c>
      <c r="P100" s="285">
        <v>37</v>
      </c>
      <c r="Q100" s="285">
        <v>36</v>
      </c>
      <c r="R100" s="285">
        <v>42</v>
      </c>
      <c r="S100" s="285">
        <v>46.8</v>
      </c>
      <c r="T100" s="285">
        <v>55.7</v>
      </c>
      <c r="U100" s="285">
        <v>44</v>
      </c>
      <c r="V100" s="285">
        <v>46.3</v>
      </c>
      <c r="W100" s="285">
        <v>47.1</v>
      </c>
      <c r="X100" s="285">
        <v>47.4</v>
      </c>
      <c r="Y100" s="285">
        <v>46.3</v>
      </c>
      <c r="Z100" s="285">
        <v>39.6</v>
      </c>
      <c r="AA100" s="285">
        <v>42.6</v>
      </c>
      <c r="AB100" s="285">
        <v>36.700000000000003</v>
      </c>
      <c r="AC100" s="285">
        <v>36.299999999999997</v>
      </c>
      <c r="AD100" s="285">
        <v>31.8</v>
      </c>
      <c r="AE100" s="285">
        <v>31.9</v>
      </c>
      <c r="AF100" s="285">
        <v>23.8</v>
      </c>
      <c r="AG100" s="283">
        <v>240</v>
      </c>
      <c r="AH100" s="226">
        <f t="shared" si="53"/>
        <v>55.7</v>
      </c>
      <c r="AI100" s="284">
        <f t="shared" si="54"/>
        <v>0.625</v>
      </c>
    </row>
    <row r="101" spans="1:37" x14ac:dyDescent="0.25">
      <c r="A101" s="271" t="s">
        <v>104</v>
      </c>
      <c r="B101" s="285">
        <f>-66-70.5</f>
        <v>-136.5</v>
      </c>
      <c r="C101" s="285">
        <f>-71-76</f>
        <v>-147</v>
      </c>
      <c r="D101" s="285">
        <f>-71-74</f>
        <v>-145</v>
      </c>
      <c r="E101" s="285">
        <f>-66.2-69.9</f>
        <v>-136.10000000000002</v>
      </c>
      <c r="F101" s="285">
        <f>-66.2-70.1</f>
        <v>-136.30000000000001</v>
      </c>
      <c r="G101" s="285">
        <f>-56.7-59.7</f>
        <v>-116.4</v>
      </c>
      <c r="H101" s="285">
        <f>-56.4-59.9</f>
        <v>-116.3</v>
      </c>
      <c r="I101" s="285">
        <f>-48.8-51.9</f>
        <v>-100.69999999999999</v>
      </c>
      <c r="J101" s="285">
        <f>-46.2-48.4</f>
        <v>-94.6</v>
      </c>
      <c r="K101" s="285">
        <f>-37.4-40.6</f>
        <v>-78</v>
      </c>
      <c r="L101" s="285">
        <f>-46.2-49.4</f>
        <v>-95.6</v>
      </c>
      <c r="M101" s="285">
        <v>-94</v>
      </c>
      <c r="N101" s="285">
        <v>-99</v>
      </c>
      <c r="O101" s="285">
        <v>-99</v>
      </c>
      <c r="P101" s="285">
        <v>-95</v>
      </c>
      <c r="Q101" s="285">
        <v>-101</v>
      </c>
      <c r="R101" s="285">
        <v>-82</v>
      </c>
      <c r="S101" s="285">
        <f>-33.8-36.8</f>
        <v>-70.599999999999994</v>
      </c>
      <c r="T101" s="285">
        <f>-39-44</f>
        <v>-83</v>
      </c>
      <c r="U101" s="285">
        <v>-101.8</v>
      </c>
      <c r="V101" s="285">
        <f>-49-52.4</f>
        <v>-101.4</v>
      </c>
      <c r="W101" s="285">
        <f>-49-52.4</f>
        <v>-101.4</v>
      </c>
      <c r="X101" s="285">
        <f>-50.2-52.9</f>
        <v>-103.1</v>
      </c>
      <c r="Y101" s="285">
        <v>-75</v>
      </c>
      <c r="Z101" s="285">
        <f>-36.7-39.4</f>
        <v>-76.099999999999994</v>
      </c>
      <c r="AA101" s="285">
        <f>-40-45</f>
        <v>-85</v>
      </c>
      <c r="AB101" s="285">
        <v>-95.8</v>
      </c>
      <c r="AC101" s="285">
        <v>-102.9</v>
      </c>
      <c r="AD101" s="285">
        <v>-118</v>
      </c>
      <c r="AE101" s="285">
        <v>-120</v>
      </c>
      <c r="AF101" s="285">
        <v>-136</v>
      </c>
      <c r="AG101" s="283">
        <v>240</v>
      </c>
      <c r="AH101" s="226">
        <f t="shared" si="53"/>
        <v>-147</v>
      </c>
      <c r="AI101" s="284">
        <f t="shared" si="54"/>
        <v>4.1666666666666664E-2</v>
      </c>
    </row>
    <row r="102" spans="1:37" x14ac:dyDescent="0.25">
      <c r="A102" s="271" t="s">
        <v>105</v>
      </c>
      <c r="B102" s="285">
        <v>-8.6</v>
      </c>
      <c r="C102" s="285">
        <v>-9.6999999999999993</v>
      </c>
      <c r="D102" s="285">
        <v>-10.6</v>
      </c>
      <c r="E102" s="285">
        <v>-8.4</v>
      </c>
      <c r="F102" s="285">
        <v>-8.5</v>
      </c>
      <c r="G102" s="285">
        <v>-6.3</v>
      </c>
      <c r="H102" s="285">
        <v>-2</v>
      </c>
      <c r="I102" s="285">
        <v>1.2</v>
      </c>
      <c r="J102" s="285">
        <v>2.4</v>
      </c>
      <c r="K102" s="285">
        <v>6.5</v>
      </c>
      <c r="L102" s="285">
        <v>4.0999999999999996</v>
      </c>
      <c r="M102" s="285">
        <v>6</v>
      </c>
      <c r="N102" s="285">
        <v>6.1</v>
      </c>
      <c r="O102" s="285">
        <v>6.1</v>
      </c>
      <c r="P102" s="285">
        <v>4.3</v>
      </c>
      <c r="Q102" s="285">
        <v>3.2</v>
      </c>
      <c r="R102" s="285">
        <v>4</v>
      </c>
      <c r="S102" s="285">
        <v>4.5</v>
      </c>
      <c r="T102" s="285">
        <v>3.2</v>
      </c>
      <c r="U102" s="285">
        <v>1.2</v>
      </c>
      <c r="V102" s="285">
        <v>3.1</v>
      </c>
      <c r="W102" s="285">
        <v>3.6</v>
      </c>
      <c r="X102" s="285">
        <v>5.4</v>
      </c>
      <c r="Y102" s="285">
        <v>10.9</v>
      </c>
      <c r="Z102" s="285">
        <v>8.8000000000000007</v>
      </c>
      <c r="AA102" s="285">
        <v>6.6</v>
      </c>
      <c r="AB102" s="285">
        <v>4.2</v>
      </c>
      <c r="AC102" s="285">
        <v>1.3</v>
      </c>
      <c r="AD102" s="285">
        <v>-4.5999999999999996</v>
      </c>
      <c r="AE102" s="285">
        <v>-3.7</v>
      </c>
      <c r="AF102" s="285">
        <v>-8</v>
      </c>
      <c r="AG102" s="283">
        <v>60</v>
      </c>
      <c r="AH102" s="226">
        <f t="shared" si="53"/>
        <v>10.9</v>
      </c>
      <c r="AI102" s="284">
        <f t="shared" si="54"/>
        <v>0.77083333333333337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>
        <v>0</v>
      </c>
      <c r="F103" s="287">
        <v>0</v>
      </c>
      <c r="G103" s="287">
        <v>0</v>
      </c>
      <c r="H103" s="287">
        <v>0</v>
      </c>
      <c r="I103" s="287">
        <v>0</v>
      </c>
      <c r="J103" s="287">
        <v>0</v>
      </c>
      <c r="K103" s="287">
        <v>0</v>
      </c>
      <c r="L103" s="287">
        <v>53.3</v>
      </c>
      <c r="M103" s="287">
        <v>45</v>
      </c>
      <c r="N103" s="287">
        <v>43.4</v>
      </c>
      <c r="O103" s="287">
        <v>43.4</v>
      </c>
      <c r="P103" s="287">
        <v>58</v>
      </c>
      <c r="Q103" s="287">
        <v>52</v>
      </c>
      <c r="R103" s="287">
        <v>48</v>
      </c>
      <c r="S103" s="287">
        <v>63.6</v>
      </c>
      <c r="T103" s="287">
        <v>49.2</v>
      </c>
      <c r="U103" s="287">
        <v>47</v>
      </c>
      <c r="V103" s="287">
        <v>31.6</v>
      </c>
      <c r="W103" s="287">
        <v>38.1</v>
      </c>
      <c r="X103" s="287">
        <v>62.8</v>
      </c>
      <c r="Y103" s="287">
        <v>63.7</v>
      </c>
      <c r="Z103" s="287">
        <v>63.9</v>
      </c>
      <c r="AA103" s="287">
        <v>63.9</v>
      </c>
      <c r="AB103" s="287">
        <v>63.6</v>
      </c>
      <c r="AC103" s="287">
        <v>63.8</v>
      </c>
      <c r="AD103" s="287">
        <v>52</v>
      </c>
      <c r="AE103" s="287">
        <v>0</v>
      </c>
      <c r="AF103" s="287">
        <v>0</v>
      </c>
      <c r="AG103" s="288">
        <v>120</v>
      </c>
      <c r="AH103" s="226">
        <f t="shared" si="53"/>
        <v>63.9</v>
      </c>
      <c r="AI103" s="284">
        <f t="shared" si="54"/>
        <v>0.79166666666666663</v>
      </c>
    </row>
    <row r="104" spans="1:37" x14ac:dyDescent="0.25">
      <c r="A104" s="286" t="s">
        <v>107</v>
      </c>
      <c r="B104" s="287">
        <v>33.799999999999997</v>
      </c>
      <c r="C104" s="287">
        <v>22.7</v>
      </c>
      <c r="D104" s="287">
        <v>19.399999999999999</v>
      </c>
      <c r="E104" s="287">
        <v>31</v>
      </c>
      <c r="F104" s="287">
        <v>31.6</v>
      </c>
      <c r="G104" s="287">
        <v>45.1</v>
      </c>
      <c r="H104" s="287">
        <v>46.2</v>
      </c>
      <c r="I104" s="287">
        <v>40.700000000000003</v>
      </c>
      <c r="J104" s="287">
        <v>44.2</v>
      </c>
      <c r="K104" s="287">
        <v>55.2</v>
      </c>
      <c r="L104" s="287">
        <v>48.8</v>
      </c>
      <c r="M104" s="287">
        <v>41</v>
      </c>
      <c r="N104" s="287">
        <v>42.6</v>
      </c>
      <c r="O104" s="287">
        <v>42.6</v>
      </c>
      <c r="P104" s="287">
        <v>62</v>
      </c>
      <c r="Q104" s="287">
        <v>57</v>
      </c>
      <c r="R104" s="287">
        <v>53</v>
      </c>
      <c r="S104" s="287">
        <v>67.8</v>
      </c>
      <c r="T104" s="287">
        <v>56.4</v>
      </c>
      <c r="U104" s="287">
        <v>47.8</v>
      </c>
      <c r="V104" s="287">
        <v>34</v>
      </c>
      <c r="W104" s="287">
        <v>42.7</v>
      </c>
      <c r="X104" s="287">
        <v>36.6</v>
      </c>
      <c r="Y104" s="287">
        <v>70.2</v>
      </c>
      <c r="Z104" s="287">
        <v>66.2</v>
      </c>
      <c r="AA104" s="287">
        <v>57.6</v>
      </c>
      <c r="AB104" s="287">
        <v>51.6</v>
      </c>
      <c r="AC104" s="287">
        <v>54</v>
      </c>
      <c r="AD104" s="287">
        <v>54</v>
      </c>
      <c r="AE104" s="287">
        <v>40.299999999999997</v>
      </c>
      <c r="AF104" s="287">
        <v>37.5</v>
      </c>
      <c r="AG104" s="288"/>
      <c r="AH104" s="226">
        <f t="shared" si="53"/>
        <v>70.2</v>
      </c>
      <c r="AI104" s="284">
        <f t="shared" si="54"/>
        <v>0.77083333333333337</v>
      </c>
    </row>
    <row r="105" spans="1:37" x14ac:dyDescent="0.25">
      <c r="A105" s="286" t="s">
        <v>108</v>
      </c>
      <c r="B105" s="287">
        <v>56</v>
      </c>
      <c r="C105" s="287">
        <v>64.099999999999994</v>
      </c>
      <c r="D105" s="287">
        <v>61.8</v>
      </c>
      <c r="E105" s="287">
        <v>58.8</v>
      </c>
      <c r="F105" s="287">
        <v>66.3</v>
      </c>
      <c r="G105" s="287">
        <v>70.599999999999994</v>
      </c>
      <c r="H105" s="287">
        <v>54.3</v>
      </c>
      <c r="I105" s="287">
        <v>37.299999999999997</v>
      </c>
      <c r="J105" s="287">
        <v>45.2</v>
      </c>
      <c r="K105" s="287">
        <v>38.5</v>
      </c>
      <c r="L105" s="287">
        <v>35.9</v>
      </c>
      <c r="M105" s="287">
        <v>23</v>
      </c>
      <c r="N105" s="287">
        <v>32.299999999999997</v>
      </c>
      <c r="O105" s="287">
        <v>32.299999999999997</v>
      </c>
      <c r="P105" s="287">
        <v>55</v>
      </c>
      <c r="Q105" s="287">
        <v>48</v>
      </c>
      <c r="R105" s="287">
        <v>44</v>
      </c>
      <c r="S105" s="287">
        <v>34.299999999999997</v>
      </c>
      <c r="T105" s="287">
        <v>36.200000000000003</v>
      </c>
      <c r="U105" s="287">
        <v>50.3</v>
      </c>
      <c r="V105" s="287">
        <v>20.399999999999999</v>
      </c>
      <c r="W105" s="287">
        <v>26.8</v>
      </c>
      <c r="X105" s="287">
        <v>28.4</v>
      </c>
      <c r="Y105" s="287">
        <v>33.1</v>
      </c>
      <c r="Z105" s="287">
        <v>45.2</v>
      </c>
      <c r="AA105" s="287">
        <v>37.9</v>
      </c>
      <c r="AB105" s="287">
        <v>47.2</v>
      </c>
      <c r="AC105" s="287">
        <v>71.400000000000006</v>
      </c>
      <c r="AD105" s="287">
        <v>62</v>
      </c>
      <c r="AE105" s="287">
        <v>54.1</v>
      </c>
      <c r="AF105" s="287">
        <v>56.2</v>
      </c>
      <c r="AG105" s="289"/>
      <c r="AH105" s="226">
        <f t="shared" si="53"/>
        <v>71.400000000000006</v>
      </c>
      <c r="AI105" s="284">
        <f t="shared" si="54"/>
        <v>0.85416666666666663</v>
      </c>
    </row>
    <row r="106" spans="1:37" x14ac:dyDescent="0.25">
      <c r="A106" s="290" t="s">
        <v>109</v>
      </c>
      <c r="B106" s="274">
        <v>120</v>
      </c>
      <c r="C106" s="274">
        <v>119.2</v>
      </c>
      <c r="D106" s="274">
        <v>120.2</v>
      </c>
      <c r="E106" s="274">
        <v>121.8</v>
      </c>
      <c r="F106" s="274">
        <v>111.3</v>
      </c>
      <c r="G106" s="274">
        <v>124.7</v>
      </c>
      <c r="H106" s="274">
        <v>123.1</v>
      </c>
      <c r="I106" s="274">
        <v>121.8</v>
      </c>
      <c r="J106" s="274">
        <v>118.6</v>
      </c>
      <c r="K106" s="274">
        <v>108.3</v>
      </c>
      <c r="L106" s="274">
        <v>117.1</v>
      </c>
      <c r="M106" s="274">
        <v>120</v>
      </c>
      <c r="N106" s="274">
        <v>118.8</v>
      </c>
      <c r="O106" s="274">
        <v>118.8</v>
      </c>
      <c r="P106" s="274">
        <v>117</v>
      </c>
      <c r="Q106" s="274">
        <v>117</v>
      </c>
      <c r="R106" s="274">
        <v>122</v>
      </c>
      <c r="S106" s="274">
        <v>119.8</v>
      </c>
      <c r="T106" s="274">
        <v>118.7</v>
      </c>
      <c r="U106" s="274">
        <v>117.4</v>
      </c>
      <c r="V106" s="274">
        <v>115.8</v>
      </c>
      <c r="W106" s="274">
        <v>116.5</v>
      </c>
      <c r="X106" s="274">
        <v>108.6</v>
      </c>
      <c r="Y106" s="274">
        <v>100.6</v>
      </c>
      <c r="Z106" s="274">
        <v>105.5</v>
      </c>
      <c r="AA106" s="274">
        <v>105.5</v>
      </c>
      <c r="AB106" s="274">
        <v>108.8</v>
      </c>
      <c r="AC106" s="274">
        <v>109.6</v>
      </c>
      <c r="AD106" s="274">
        <v>110</v>
      </c>
      <c r="AE106" s="274">
        <v>117.9</v>
      </c>
      <c r="AF106" s="274">
        <v>112.2</v>
      </c>
      <c r="AG106" s="289"/>
      <c r="AH106" s="226">
        <f t="shared" si="53"/>
        <v>124.7</v>
      </c>
      <c r="AI106" s="284">
        <f t="shared" si="54"/>
        <v>0.20833333333333301</v>
      </c>
    </row>
    <row r="107" spans="1:37" ht="15.75" thickBot="1" x14ac:dyDescent="0.3">
      <c r="A107" s="290" t="s">
        <v>110</v>
      </c>
      <c r="B107" s="274">
        <v>89.5</v>
      </c>
      <c r="C107" s="274">
        <v>95.3</v>
      </c>
      <c r="D107" s="274">
        <v>91.2</v>
      </c>
      <c r="E107" s="274">
        <v>87.7</v>
      </c>
      <c r="F107" s="274">
        <v>80.8</v>
      </c>
      <c r="G107" s="274">
        <v>69.8</v>
      </c>
      <c r="H107" s="274">
        <v>73.7</v>
      </c>
      <c r="I107" s="274">
        <v>65.599999999999994</v>
      </c>
      <c r="J107" s="274">
        <v>61.3</v>
      </c>
      <c r="K107" s="274">
        <v>49.9</v>
      </c>
      <c r="L107" s="274">
        <v>61.3</v>
      </c>
      <c r="M107" s="274">
        <v>60</v>
      </c>
      <c r="N107" s="274">
        <v>57.9</v>
      </c>
      <c r="O107" s="274">
        <v>57.9</v>
      </c>
      <c r="P107" s="274">
        <v>51</v>
      </c>
      <c r="Q107" s="274">
        <v>57</v>
      </c>
      <c r="R107" s="274">
        <v>50</v>
      </c>
      <c r="S107" s="274">
        <v>47.4</v>
      </c>
      <c r="T107" s="274">
        <v>60.5</v>
      </c>
      <c r="U107" s="274">
        <v>62</v>
      </c>
      <c r="V107" s="274">
        <v>63.1</v>
      </c>
      <c r="W107" s="274">
        <v>62.3</v>
      </c>
      <c r="X107" s="274">
        <v>63.3</v>
      </c>
      <c r="Y107" s="274">
        <v>42.3</v>
      </c>
      <c r="Z107" s="274">
        <v>48.6</v>
      </c>
      <c r="AA107" s="274">
        <v>53.5</v>
      </c>
      <c r="AB107" s="274">
        <v>48.7</v>
      </c>
      <c r="AC107" s="274">
        <v>54.7</v>
      </c>
      <c r="AD107" s="274">
        <v>56</v>
      </c>
      <c r="AE107" s="274">
        <v>71.900000000000006</v>
      </c>
      <c r="AF107" s="274">
        <v>83</v>
      </c>
      <c r="AG107" s="289"/>
      <c r="AH107" s="226">
        <f t="shared" si="53"/>
        <v>95.3</v>
      </c>
      <c r="AI107" s="284">
        <f t="shared" si="54"/>
        <v>4.1666666666666664E-2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55">SUM(C109:C213)</f>
        <v>0</v>
      </c>
      <c r="D214" s="307">
        <f t="shared" si="55"/>
        <v>0</v>
      </c>
      <c r="E214" s="307">
        <f t="shared" si="55"/>
        <v>0</v>
      </c>
      <c r="F214" s="307">
        <f t="shared" si="55"/>
        <v>0</v>
      </c>
      <c r="G214" s="307">
        <f t="shared" si="55"/>
        <v>0</v>
      </c>
      <c r="H214" s="307">
        <f t="shared" si="55"/>
        <v>0</v>
      </c>
      <c r="I214" s="307">
        <f t="shared" si="55"/>
        <v>0</v>
      </c>
      <c r="J214" s="307">
        <f t="shared" si="55"/>
        <v>0</v>
      </c>
      <c r="K214" s="307">
        <f t="shared" si="55"/>
        <v>0</v>
      </c>
      <c r="L214" s="307">
        <f t="shared" si="55"/>
        <v>0</v>
      </c>
      <c r="M214" s="307">
        <f t="shared" si="55"/>
        <v>0</v>
      </c>
      <c r="N214" s="307">
        <f t="shared" si="55"/>
        <v>0</v>
      </c>
      <c r="O214" s="307">
        <f t="shared" si="55"/>
        <v>0</v>
      </c>
      <c r="P214" s="307">
        <f t="shared" si="55"/>
        <v>0</v>
      </c>
      <c r="Q214" s="307">
        <f t="shared" si="55"/>
        <v>0</v>
      </c>
      <c r="R214" s="307">
        <f t="shared" si="55"/>
        <v>0</v>
      </c>
      <c r="S214" s="307">
        <f t="shared" si="55"/>
        <v>0</v>
      </c>
      <c r="T214" s="307">
        <f t="shared" si="55"/>
        <v>0</v>
      </c>
      <c r="U214" s="307">
        <f t="shared" si="55"/>
        <v>0</v>
      </c>
      <c r="V214" s="307">
        <f t="shared" si="55"/>
        <v>0</v>
      </c>
      <c r="W214" s="307">
        <f t="shared" si="55"/>
        <v>0</v>
      </c>
      <c r="X214" s="307">
        <f t="shared" si="55"/>
        <v>0</v>
      </c>
      <c r="Y214" s="307">
        <f t="shared" si="55"/>
        <v>0</v>
      </c>
      <c r="Z214" s="307">
        <f t="shared" si="55"/>
        <v>0</v>
      </c>
      <c r="AA214" s="307">
        <f t="shared" si="55"/>
        <v>0</v>
      </c>
      <c r="AB214" s="307">
        <f t="shared" si="55"/>
        <v>0</v>
      </c>
      <c r="AC214" s="307">
        <f t="shared" si="55"/>
        <v>0</v>
      </c>
      <c r="AD214" s="307">
        <f t="shared" si="55"/>
        <v>0</v>
      </c>
      <c r="AE214" s="307">
        <f t="shared" si="55"/>
        <v>0</v>
      </c>
      <c r="AF214" s="308">
        <f t="shared" si="55"/>
        <v>0</v>
      </c>
      <c r="AG214" s="309">
        <f t="shared" si="55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56">AF216</f>
        <v>0</v>
      </c>
      <c r="C216" s="312">
        <v>0.3</v>
      </c>
      <c r="D216" s="312">
        <f t="shared" ref="D216:P221" si="57">C216</f>
        <v>0.3</v>
      </c>
      <c r="E216" s="312">
        <f t="shared" si="57"/>
        <v>0.3</v>
      </c>
      <c r="F216" s="312">
        <f t="shared" si="57"/>
        <v>0.3</v>
      </c>
      <c r="G216" s="312">
        <f t="shared" si="57"/>
        <v>0.3</v>
      </c>
      <c r="H216" s="312">
        <f t="shared" si="57"/>
        <v>0.3</v>
      </c>
      <c r="I216" s="312">
        <f t="shared" si="57"/>
        <v>0.3</v>
      </c>
      <c r="J216" s="312">
        <f t="shared" si="57"/>
        <v>0.3</v>
      </c>
      <c r="K216" s="312">
        <f t="shared" si="57"/>
        <v>0.3</v>
      </c>
      <c r="L216" s="312">
        <f t="shared" si="57"/>
        <v>0.3</v>
      </c>
      <c r="M216" s="312">
        <f t="shared" si="57"/>
        <v>0.3</v>
      </c>
      <c r="N216" s="312">
        <f t="shared" si="57"/>
        <v>0.3</v>
      </c>
      <c r="O216" s="312">
        <f t="shared" si="57"/>
        <v>0.3</v>
      </c>
      <c r="P216" s="312">
        <f t="shared" si="57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56"/>
        <v>0</v>
      </c>
      <c r="C217" s="299">
        <v>0.4</v>
      </c>
      <c r="D217" s="299">
        <f t="shared" si="57"/>
        <v>0.4</v>
      </c>
      <c r="E217" s="299">
        <f t="shared" si="57"/>
        <v>0.4</v>
      </c>
      <c r="F217" s="299">
        <f t="shared" si="57"/>
        <v>0.4</v>
      </c>
      <c r="G217" s="299">
        <f t="shared" si="57"/>
        <v>0.4</v>
      </c>
      <c r="H217" s="299">
        <f t="shared" si="57"/>
        <v>0.4</v>
      </c>
      <c r="I217" s="299">
        <f t="shared" si="57"/>
        <v>0.4</v>
      </c>
      <c r="J217" s="299">
        <f t="shared" si="57"/>
        <v>0.4</v>
      </c>
      <c r="K217" s="299">
        <f t="shared" si="57"/>
        <v>0.4</v>
      </c>
      <c r="L217" s="299">
        <f t="shared" si="57"/>
        <v>0.4</v>
      </c>
      <c r="M217" s="299">
        <f t="shared" si="57"/>
        <v>0.4</v>
      </c>
      <c r="N217" s="299">
        <f t="shared" si="57"/>
        <v>0.4</v>
      </c>
      <c r="O217" s="299">
        <f t="shared" si="57"/>
        <v>0.4</v>
      </c>
      <c r="P217" s="299">
        <f t="shared" si="57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56"/>
        <v>0</v>
      </c>
      <c r="C218" s="299">
        <v>1.5</v>
      </c>
      <c r="D218" s="299">
        <f t="shared" si="57"/>
        <v>1.5</v>
      </c>
      <c r="E218" s="299">
        <f t="shared" si="57"/>
        <v>1.5</v>
      </c>
      <c r="F218" s="299">
        <f t="shared" si="57"/>
        <v>1.5</v>
      </c>
      <c r="G218" s="299">
        <f t="shared" si="57"/>
        <v>1.5</v>
      </c>
      <c r="H218" s="299">
        <f t="shared" si="57"/>
        <v>1.5</v>
      </c>
      <c r="I218" s="299">
        <f t="shared" si="57"/>
        <v>1.5</v>
      </c>
      <c r="J218" s="299">
        <f t="shared" si="57"/>
        <v>1.5</v>
      </c>
      <c r="K218" s="299">
        <f t="shared" si="57"/>
        <v>1.5</v>
      </c>
      <c r="L218" s="299">
        <f t="shared" si="57"/>
        <v>1.5</v>
      </c>
      <c r="M218" s="299">
        <f t="shared" si="57"/>
        <v>1.5</v>
      </c>
      <c r="N218" s="299">
        <f t="shared" si="57"/>
        <v>1.5</v>
      </c>
      <c r="O218" s="299">
        <f t="shared" si="57"/>
        <v>1.5</v>
      </c>
      <c r="P218" s="299">
        <f t="shared" si="57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56"/>
        <v>0</v>
      </c>
      <c r="C219" s="299">
        <v>0.3</v>
      </c>
      <c r="D219" s="299">
        <f t="shared" si="57"/>
        <v>0.3</v>
      </c>
      <c r="E219" s="299">
        <f t="shared" si="57"/>
        <v>0.3</v>
      </c>
      <c r="F219" s="299">
        <f t="shared" si="57"/>
        <v>0.3</v>
      </c>
      <c r="G219" s="299">
        <f t="shared" si="57"/>
        <v>0.3</v>
      </c>
      <c r="H219" s="299">
        <f t="shared" si="57"/>
        <v>0.3</v>
      </c>
      <c r="I219" s="299">
        <f t="shared" si="57"/>
        <v>0.3</v>
      </c>
      <c r="J219" s="299">
        <f t="shared" si="57"/>
        <v>0.3</v>
      </c>
      <c r="K219" s="299">
        <f t="shared" si="57"/>
        <v>0.3</v>
      </c>
      <c r="L219" s="299">
        <f t="shared" si="57"/>
        <v>0.3</v>
      </c>
      <c r="M219" s="299">
        <f t="shared" si="57"/>
        <v>0.3</v>
      </c>
      <c r="N219" s="299">
        <f t="shared" si="57"/>
        <v>0.3</v>
      </c>
      <c r="O219" s="299">
        <f t="shared" si="57"/>
        <v>0.3</v>
      </c>
      <c r="P219" s="299">
        <f t="shared" si="57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56"/>
        <v>0</v>
      </c>
      <c r="C220" s="299">
        <v>0.4</v>
      </c>
      <c r="D220" s="299">
        <f t="shared" si="57"/>
        <v>0.4</v>
      </c>
      <c r="E220" s="299">
        <f t="shared" si="57"/>
        <v>0.4</v>
      </c>
      <c r="F220" s="299">
        <f t="shared" si="57"/>
        <v>0.4</v>
      </c>
      <c r="G220" s="299">
        <f t="shared" si="57"/>
        <v>0.4</v>
      </c>
      <c r="H220" s="299">
        <f t="shared" si="57"/>
        <v>0.4</v>
      </c>
      <c r="I220" s="299">
        <f t="shared" si="57"/>
        <v>0.4</v>
      </c>
      <c r="J220" s="299">
        <f t="shared" si="57"/>
        <v>0.4</v>
      </c>
      <c r="K220" s="299">
        <f t="shared" si="57"/>
        <v>0.4</v>
      </c>
      <c r="L220" s="299">
        <f t="shared" si="57"/>
        <v>0.4</v>
      </c>
      <c r="M220" s="299">
        <f t="shared" si="57"/>
        <v>0.4</v>
      </c>
      <c r="N220" s="299">
        <f t="shared" si="57"/>
        <v>0.4</v>
      </c>
      <c r="O220" s="299">
        <f t="shared" si="57"/>
        <v>0.4</v>
      </c>
      <c r="P220" s="299">
        <f t="shared" si="57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56"/>
        <v>0</v>
      </c>
      <c r="C221" s="303">
        <v>0.64</v>
      </c>
      <c r="D221" s="303">
        <f t="shared" si="57"/>
        <v>0.64</v>
      </c>
      <c r="E221" s="303">
        <f t="shared" si="57"/>
        <v>0.64</v>
      </c>
      <c r="F221" s="303">
        <f t="shared" si="57"/>
        <v>0.64</v>
      </c>
      <c r="G221" s="303">
        <f t="shared" si="57"/>
        <v>0.64</v>
      </c>
      <c r="H221" s="303">
        <f t="shared" si="57"/>
        <v>0.64</v>
      </c>
      <c r="I221" s="303">
        <f t="shared" si="57"/>
        <v>0.64</v>
      </c>
      <c r="J221" s="303">
        <f t="shared" si="57"/>
        <v>0.64</v>
      </c>
      <c r="K221" s="303">
        <f t="shared" si="57"/>
        <v>0.64</v>
      </c>
      <c r="L221" s="303">
        <f t="shared" si="57"/>
        <v>0.64</v>
      </c>
      <c r="M221" s="303">
        <f t="shared" si="57"/>
        <v>0.64</v>
      </c>
      <c r="N221" s="303">
        <f t="shared" si="57"/>
        <v>0.64</v>
      </c>
      <c r="O221" s="303">
        <f t="shared" si="57"/>
        <v>0.64</v>
      </c>
      <c r="P221" s="303">
        <f t="shared" si="57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58">SUM(D216:D221)</f>
        <v>3.54</v>
      </c>
      <c r="E222" s="307">
        <f t="shared" si="58"/>
        <v>3.54</v>
      </c>
      <c r="F222" s="307">
        <f t="shared" si="58"/>
        <v>3.54</v>
      </c>
      <c r="G222" s="307">
        <f t="shared" si="58"/>
        <v>3.54</v>
      </c>
      <c r="H222" s="307">
        <f t="shared" si="58"/>
        <v>3.54</v>
      </c>
      <c r="I222" s="307">
        <f t="shared" si="58"/>
        <v>3.54</v>
      </c>
      <c r="J222" s="307">
        <f t="shared" si="58"/>
        <v>3.54</v>
      </c>
      <c r="K222" s="307">
        <f t="shared" si="58"/>
        <v>3.54</v>
      </c>
      <c r="L222" s="307">
        <f t="shared" si="58"/>
        <v>3.54</v>
      </c>
      <c r="M222" s="307">
        <f>SUM(M216:M221)</f>
        <v>3.54</v>
      </c>
      <c r="N222" s="307">
        <f t="shared" ref="N222:S222" si="59">SUM(N216:N221)</f>
        <v>3.54</v>
      </c>
      <c r="O222" s="307">
        <f t="shared" si="59"/>
        <v>3.54</v>
      </c>
      <c r="P222" s="307">
        <f t="shared" si="59"/>
        <v>3.54</v>
      </c>
      <c r="Q222" s="307">
        <f t="shared" si="59"/>
        <v>0</v>
      </c>
      <c r="R222" s="307">
        <f t="shared" si="59"/>
        <v>0</v>
      </c>
      <c r="S222" s="307">
        <f t="shared" si="59"/>
        <v>0</v>
      </c>
      <c r="T222" s="307">
        <f>SUM(T216:T221)</f>
        <v>0</v>
      </c>
      <c r="U222" s="307">
        <f t="shared" ref="U222:AG222" si="60">SUM(U216:U221)</f>
        <v>0</v>
      </c>
      <c r="V222" s="307">
        <f t="shared" si="60"/>
        <v>0</v>
      </c>
      <c r="W222" s="307">
        <f t="shared" si="60"/>
        <v>0</v>
      </c>
      <c r="X222" s="307">
        <f t="shared" si="60"/>
        <v>0</v>
      </c>
      <c r="Y222" s="307">
        <f t="shared" si="60"/>
        <v>0</v>
      </c>
      <c r="Z222" s="307">
        <f t="shared" si="60"/>
        <v>0</v>
      </c>
      <c r="AA222" s="307">
        <f t="shared" si="60"/>
        <v>0</v>
      </c>
      <c r="AB222" s="307">
        <f t="shared" si="60"/>
        <v>0</v>
      </c>
      <c r="AC222" s="307">
        <f t="shared" si="60"/>
        <v>0</v>
      </c>
      <c r="AD222" s="307">
        <f t="shared" si="60"/>
        <v>0</v>
      </c>
      <c r="AE222" s="307">
        <f t="shared" si="60"/>
        <v>0</v>
      </c>
      <c r="AF222" s="307">
        <f t="shared" si="60"/>
        <v>0</v>
      </c>
      <c r="AG222" s="317">
        <f t="shared" si="60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1798.64</v>
      </c>
      <c r="C231" s="333">
        <f>INDEX(G9:N9,1,MATCH(MAX(G79:N79),G79:N79,0))</f>
        <v>0.375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29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str">
        <f ca="1">"Pie Chart of Daily Peak Demand(Inclusive of Export) of Nepal ("&amp;A4&amp;" "&amp;B4&amp;")"</f>
        <v>Pie Chart of Daily Peak Demand(Inclusive of Export) of Nepal (Nepali Date: 2079/05/29)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str">
        <f ca="1">"Daily Load Curve(Excluding of Export) of Nepal ("&amp;A4&amp;" "&amp;B4&amp;")"</f>
        <v>Daily Load Curve(Excluding of Export) of Nepal (Nepali Date: 2079/05/29)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61">B79</f>
        <v>1704.64</v>
      </c>
      <c r="U236" s="343">
        <f t="shared" si="61"/>
        <v>1703.2400000000002</v>
      </c>
      <c r="V236" s="343">
        <f t="shared" si="61"/>
        <v>1655.0400000000002</v>
      </c>
      <c r="W236" s="343">
        <f t="shared" si="61"/>
        <v>1659.7400000000002</v>
      </c>
      <c r="X236" s="343">
        <f t="shared" si="61"/>
        <v>1669.6399999999999</v>
      </c>
      <c r="Y236" s="343">
        <f t="shared" si="61"/>
        <v>1650.14</v>
      </c>
      <c r="Z236" s="343">
        <f t="shared" si="61"/>
        <v>1687.14</v>
      </c>
      <c r="AA236" s="343">
        <f t="shared" si="61"/>
        <v>1687.94</v>
      </c>
      <c r="AB236" s="343">
        <f t="shared" si="61"/>
        <v>1740.54</v>
      </c>
      <c r="AC236" s="343">
        <f t="shared" si="61"/>
        <v>1740.6399999999999</v>
      </c>
      <c r="AD236" s="343">
        <f t="shared" si="61"/>
        <v>1785.94</v>
      </c>
      <c r="AE236" s="343">
        <f t="shared" si="61"/>
        <v>1796.44</v>
      </c>
      <c r="AF236" s="343">
        <f t="shared" si="61"/>
        <v>1798.64</v>
      </c>
      <c r="AG236" s="343">
        <f t="shared" si="61"/>
        <v>1722.64</v>
      </c>
      <c r="AH236" s="343">
        <f t="shared" si="61"/>
        <v>1798.64</v>
      </c>
      <c r="AI236" s="343">
        <f t="shared" si="61"/>
        <v>1778.64</v>
      </c>
      <c r="AJ236" s="343">
        <f t="shared" si="61"/>
        <v>1746.94</v>
      </c>
      <c r="AK236" s="343">
        <f t="shared" si="61"/>
        <v>1735.54</v>
      </c>
      <c r="AL236" s="343">
        <f t="shared" si="61"/>
        <v>1745.1399999999999</v>
      </c>
      <c r="AM236" s="343">
        <f t="shared" si="61"/>
        <v>1791.7399999999998</v>
      </c>
      <c r="AN236" s="343">
        <f t="shared" si="61"/>
        <v>1771.74</v>
      </c>
      <c r="AO236" s="343">
        <f t="shared" si="61"/>
        <v>1756.6399999999999</v>
      </c>
      <c r="AP236" s="343">
        <f t="shared" si="61"/>
        <v>1756.54</v>
      </c>
      <c r="AQ236" s="343">
        <f t="shared" si="61"/>
        <v>1779.04</v>
      </c>
      <c r="AR236" s="343">
        <f t="shared" si="61"/>
        <v>1834.44</v>
      </c>
      <c r="AS236" s="343">
        <f t="shared" si="61"/>
        <v>1824.55</v>
      </c>
      <c r="AT236" s="343">
        <f t="shared" si="61"/>
        <v>1825.74</v>
      </c>
      <c r="AU236" s="343">
        <f t="shared" si="61"/>
        <v>1807.39</v>
      </c>
      <c r="AV236" s="343">
        <f t="shared" si="61"/>
        <v>1790.74</v>
      </c>
      <c r="AW236" s="343">
        <f t="shared" si="61"/>
        <v>1741.14</v>
      </c>
      <c r="AX236" s="343">
        <f t="shared" si="61"/>
        <v>1720.14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62">C221</f>
        <v>0.64</v>
      </c>
      <c r="C257" s="346">
        <f t="shared" si="62"/>
        <v>0.64</v>
      </c>
      <c r="D257" s="346">
        <f t="shared" si="62"/>
        <v>0.64</v>
      </c>
      <c r="E257" s="346">
        <f t="shared" si="62"/>
        <v>0.64</v>
      </c>
      <c r="F257" s="346">
        <f t="shared" si="62"/>
        <v>0.64</v>
      </c>
      <c r="G257" s="346">
        <f t="shared" si="62"/>
        <v>0.64</v>
      </c>
      <c r="H257" s="346">
        <f t="shared" si="62"/>
        <v>0.64</v>
      </c>
      <c r="I257" s="346">
        <f t="shared" si="62"/>
        <v>0.64</v>
      </c>
      <c r="J257" s="346">
        <f t="shared" si="62"/>
        <v>0.64</v>
      </c>
      <c r="K257" s="346">
        <f t="shared" si="62"/>
        <v>0.64</v>
      </c>
      <c r="L257" s="346">
        <f t="shared" si="62"/>
        <v>0.64</v>
      </c>
      <c r="M257" s="346">
        <f t="shared" si="62"/>
        <v>0.64</v>
      </c>
      <c r="N257" s="346">
        <f t="shared" si="62"/>
        <v>0.64</v>
      </c>
      <c r="O257" s="346">
        <f t="shared" si="62"/>
        <v>0.64</v>
      </c>
      <c r="P257" s="346">
        <f t="shared" si="62"/>
        <v>0</v>
      </c>
      <c r="Q257" s="346">
        <f t="shared" si="62"/>
        <v>0</v>
      </c>
      <c r="R257" s="346">
        <f t="shared" si="62"/>
        <v>0</v>
      </c>
      <c r="S257" s="346">
        <f t="shared" si="62"/>
        <v>0</v>
      </c>
      <c r="T257" s="346">
        <f t="shared" si="62"/>
        <v>0</v>
      </c>
      <c r="U257" s="346">
        <f t="shared" si="62"/>
        <v>0</v>
      </c>
      <c r="V257" s="346">
        <f t="shared" si="62"/>
        <v>0</v>
      </c>
      <c r="W257" s="346">
        <f t="shared" si="62"/>
        <v>0</v>
      </c>
      <c r="X257" s="346">
        <f t="shared" si="62"/>
        <v>0</v>
      </c>
      <c r="Y257" s="346">
        <f t="shared" si="62"/>
        <v>0</v>
      </c>
      <c r="Z257" s="346">
        <f t="shared" si="62"/>
        <v>0</v>
      </c>
      <c r="AA257" s="346">
        <f t="shared" si="62"/>
        <v>0</v>
      </c>
      <c r="AB257" s="346">
        <f t="shared" si="62"/>
        <v>0</v>
      </c>
      <c r="AC257" s="346">
        <f t="shared" si="62"/>
        <v>0</v>
      </c>
      <c r="AD257" s="346">
        <f t="shared" si="62"/>
        <v>0</v>
      </c>
      <c r="AE257" s="346">
        <f t="shared" si="62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63">IF(C225&lt;100,"",C225-520)</f>
        <v/>
      </c>
      <c r="D258" s="347" t="str">
        <f t="shared" si="63"/>
        <v/>
      </c>
      <c r="E258" s="347" t="str">
        <f t="shared" si="63"/>
        <v/>
      </c>
      <c r="F258" s="347" t="str">
        <f t="shared" si="63"/>
        <v/>
      </c>
      <c r="G258" s="347" t="str">
        <f t="shared" si="63"/>
        <v/>
      </c>
      <c r="H258" s="347" t="str">
        <f t="shared" si="63"/>
        <v/>
      </c>
      <c r="I258" s="347" t="str">
        <f t="shared" si="63"/>
        <v/>
      </c>
      <c r="J258" s="347" t="str">
        <f t="shared" si="63"/>
        <v/>
      </c>
      <c r="K258" s="347" t="str">
        <f t="shared" si="63"/>
        <v/>
      </c>
      <c r="L258" s="347" t="str">
        <f t="shared" si="63"/>
        <v/>
      </c>
      <c r="M258" s="347" t="str">
        <f t="shared" si="63"/>
        <v/>
      </c>
      <c r="N258" s="347" t="str">
        <f t="shared" si="63"/>
        <v/>
      </c>
      <c r="O258" s="347" t="str">
        <f t="shared" si="63"/>
        <v/>
      </c>
      <c r="P258" s="347" t="str">
        <f t="shared" si="63"/>
        <v/>
      </c>
      <c r="Q258" s="347" t="str">
        <f t="shared" si="63"/>
        <v/>
      </c>
      <c r="R258" s="347" t="str">
        <f t="shared" si="63"/>
        <v/>
      </c>
      <c r="S258" s="347" t="str">
        <f t="shared" si="63"/>
        <v/>
      </c>
      <c r="T258" s="347" t="str">
        <f t="shared" si="63"/>
        <v/>
      </c>
      <c r="U258" s="347" t="str">
        <f t="shared" si="63"/>
        <v/>
      </c>
      <c r="V258" s="347" t="str">
        <f t="shared" si="63"/>
        <v/>
      </c>
      <c r="W258" s="347" t="str">
        <f t="shared" si="63"/>
        <v/>
      </c>
      <c r="X258" s="347" t="str">
        <f t="shared" si="63"/>
        <v/>
      </c>
      <c r="Y258" s="347" t="str">
        <f t="shared" si="63"/>
        <v/>
      </c>
      <c r="Z258" s="347" t="str">
        <f t="shared" si="63"/>
        <v/>
      </c>
      <c r="AA258" s="347" t="str">
        <f t="shared" si="63"/>
        <v/>
      </c>
      <c r="AB258" s="347" t="str">
        <f t="shared" si="63"/>
        <v/>
      </c>
      <c r="AC258" s="347" t="str">
        <f t="shared" si="63"/>
        <v/>
      </c>
      <c r="AD258" s="347" t="str">
        <f t="shared" si="63"/>
        <v/>
      </c>
      <c r="AE258" s="347" t="str">
        <f t="shared" si="63"/>
        <v/>
      </c>
      <c r="AF258" s="347" t="str">
        <f t="shared" si="63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64">IF(B226&lt;100,"",B226-620)</f>
        <v/>
      </c>
      <c r="C259" s="347" t="str">
        <f t="shared" si="64"/>
        <v/>
      </c>
      <c r="D259" s="347" t="str">
        <f t="shared" si="64"/>
        <v/>
      </c>
      <c r="E259" s="347" t="str">
        <f t="shared" si="64"/>
        <v/>
      </c>
      <c r="F259" s="347" t="str">
        <f t="shared" si="64"/>
        <v/>
      </c>
      <c r="G259" s="347" t="str">
        <f t="shared" si="64"/>
        <v/>
      </c>
      <c r="H259" s="347" t="str">
        <f t="shared" si="64"/>
        <v/>
      </c>
      <c r="I259" s="347" t="str">
        <f t="shared" si="64"/>
        <v/>
      </c>
      <c r="J259" s="347" t="str">
        <f t="shared" si="64"/>
        <v/>
      </c>
      <c r="K259" s="347" t="str">
        <f t="shared" si="64"/>
        <v/>
      </c>
      <c r="L259" s="347" t="str">
        <f t="shared" si="64"/>
        <v/>
      </c>
      <c r="M259" s="347" t="str">
        <f t="shared" si="64"/>
        <v/>
      </c>
      <c r="N259" s="347" t="str">
        <f t="shared" si="64"/>
        <v/>
      </c>
      <c r="O259" s="347" t="str">
        <f t="shared" si="64"/>
        <v/>
      </c>
      <c r="P259" s="347" t="str">
        <f t="shared" si="64"/>
        <v/>
      </c>
      <c r="Q259" s="347" t="str">
        <f t="shared" si="64"/>
        <v/>
      </c>
      <c r="R259" s="347" t="str">
        <f t="shared" si="64"/>
        <v/>
      </c>
      <c r="S259" s="347" t="str">
        <f t="shared" si="64"/>
        <v/>
      </c>
      <c r="T259" s="347" t="str">
        <f t="shared" si="64"/>
        <v/>
      </c>
      <c r="U259" s="347" t="str">
        <f t="shared" si="64"/>
        <v/>
      </c>
      <c r="V259" s="347" t="str">
        <f t="shared" si="64"/>
        <v/>
      </c>
      <c r="W259" s="347" t="str">
        <f t="shared" si="64"/>
        <v/>
      </c>
      <c r="X259" s="347" t="str">
        <f t="shared" si="64"/>
        <v/>
      </c>
      <c r="Y259" s="347" t="str">
        <f t="shared" si="64"/>
        <v/>
      </c>
      <c r="Z259" s="347" t="str">
        <f t="shared" si="64"/>
        <v/>
      </c>
      <c r="AA259" s="347" t="str">
        <f t="shared" si="64"/>
        <v/>
      </c>
      <c r="AB259" s="347" t="str">
        <f t="shared" si="64"/>
        <v/>
      </c>
      <c r="AC259" s="347" t="str">
        <f t="shared" si="64"/>
        <v/>
      </c>
      <c r="AD259" s="347" t="str">
        <f t="shared" si="64"/>
        <v/>
      </c>
      <c r="AE259" s="347" t="str">
        <f t="shared" si="64"/>
        <v/>
      </c>
      <c r="AF259" s="347" t="str">
        <f t="shared" si="64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65">IF(B227&lt;100,"",B227-330)</f>
        <v/>
      </c>
      <c r="C260" s="347" t="str">
        <f t="shared" si="65"/>
        <v/>
      </c>
      <c r="D260" s="347" t="str">
        <f t="shared" si="65"/>
        <v/>
      </c>
      <c r="E260" s="347" t="str">
        <f t="shared" si="65"/>
        <v/>
      </c>
      <c r="F260" s="347" t="str">
        <f t="shared" si="65"/>
        <v/>
      </c>
      <c r="G260" s="347" t="str">
        <f t="shared" si="65"/>
        <v/>
      </c>
      <c r="H260" s="347" t="str">
        <f t="shared" si="65"/>
        <v/>
      </c>
      <c r="I260" s="347" t="str">
        <f t="shared" si="65"/>
        <v/>
      </c>
      <c r="J260" s="347" t="str">
        <f t="shared" si="65"/>
        <v/>
      </c>
      <c r="K260" s="347" t="str">
        <f t="shared" si="65"/>
        <v/>
      </c>
      <c r="L260" s="347" t="str">
        <f t="shared" si="65"/>
        <v/>
      </c>
      <c r="M260" s="347" t="str">
        <f t="shared" si="65"/>
        <v/>
      </c>
      <c r="N260" s="347" t="str">
        <f t="shared" si="65"/>
        <v/>
      </c>
      <c r="O260" s="347" t="str">
        <f t="shared" si="65"/>
        <v/>
      </c>
      <c r="P260" s="347" t="str">
        <f t="shared" si="65"/>
        <v/>
      </c>
      <c r="Q260" s="347" t="str">
        <f t="shared" si="65"/>
        <v/>
      </c>
      <c r="R260" s="347" t="str">
        <f t="shared" si="65"/>
        <v/>
      </c>
      <c r="S260" s="347" t="str">
        <f t="shared" si="65"/>
        <v/>
      </c>
      <c r="T260" s="347" t="str">
        <f t="shared" si="65"/>
        <v/>
      </c>
      <c r="U260" s="347" t="str">
        <f t="shared" si="65"/>
        <v/>
      </c>
      <c r="V260" s="347" t="str">
        <f t="shared" si="65"/>
        <v/>
      </c>
      <c r="W260" s="347" t="str">
        <f t="shared" si="65"/>
        <v/>
      </c>
      <c r="X260" s="347" t="str">
        <f t="shared" si="65"/>
        <v/>
      </c>
      <c r="Y260" s="347" t="str">
        <f t="shared" si="65"/>
        <v/>
      </c>
      <c r="Z260" s="347" t="str">
        <f t="shared" si="65"/>
        <v/>
      </c>
      <c r="AA260" s="347" t="str">
        <f t="shared" si="65"/>
        <v/>
      </c>
      <c r="AB260" s="347" t="str">
        <f t="shared" si="65"/>
        <v/>
      </c>
      <c r="AC260" s="347" t="str">
        <f t="shared" si="65"/>
        <v/>
      </c>
      <c r="AD260" s="347" t="str">
        <f t="shared" si="65"/>
        <v/>
      </c>
      <c r="AE260" s="347" t="str">
        <f t="shared" si="65"/>
        <v/>
      </c>
      <c r="AF260" s="347" t="str">
        <f t="shared" si="65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66">IF(C228&lt;100,"",C228-1500)</f>
        <v/>
      </c>
      <c r="D261" s="347" t="str">
        <f t="shared" si="66"/>
        <v/>
      </c>
      <c r="E261" s="347" t="str">
        <f t="shared" si="66"/>
        <v/>
      </c>
      <c r="F261" s="347" t="str">
        <f t="shared" si="66"/>
        <v/>
      </c>
      <c r="G261" s="347" t="str">
        <f t="shared" si="66"/>
        <v/>
      </c>
      <c r="H261" s="347" t="str">
        <f t="shared" si="66"/>
        <v/>
      </c>
      <c r="I261" s="347" t="str">
        <f t="shared" si="66"/>
        <v/>
      </c>
      <c r="J261" s="347" t="str">
        <f t="shared" si="66"/>
        <v/>
      </c>
      <c r="K261" s="347" t="str">
        <f t="shared" si="66"/>
        <v/>
      </c>
      <c r="L261" s="347" t="str">
        <f t="shared" si="66"/>
        <v/>
      </c>
      <c r="M261" s="347" t="str">
        <f t="shared" si="66"/>
        <v/>
      </c>
      <c r="N261" s="347" t="str">
        <f t="shared" si="66"/>
        <v/>
      </c>
      <c r="O261" s="347" t="str">
        <f t="shared" si="66"/>
        <v/>
      </c>
      <c r="P261" s="347" t="str">
        <f t="shared" si="66"/>
        <v/>
      </c>
      <c r="Q261" s="347" t="str">
        <f t="shared" si="66"/>
        <v/>
      </c>
      <c r="R261" s="347" t="str">
        <f t="shared" si="66"/>
        <v/>
      </c>
      <c r="S261" s="347" t="str">
        <f t="shared" si="66"/>
        <v/>
      </c>
      <c r="T261" s="347" t="str">
        <f t="shared" si="66"/>
        <v/>
      </c>
      <c r="U261" s="347" t="str">
        <f t="shared" si="66"/>
        <v/>
      </c>
      <c r="V261" s="347" t="str">
        <f t="shared" si="66"/>
        <v/>
      </c>
      <c r="W261" s="347" t="str">
        <f t="shared" si="66"/>
        <v/>
      </c>
      <c r="X261" s="347" t="str">
        <f t="shared" si="66"/>
        <v/>
      </c>
      <c r="Y261" s="347" t="str">
        <f t="shared" si="66"/>
        <v/>
      </c>
      <c r="Z261" s="347" t="str">
        <f t="shared" si="66"/>
        <v/>
      </c>
      <c r="AA261" s="347" t="str">
        <f t="shared" si="66"/>
        <v/>
      </c>
      <c r="AB261" s="347" t="str">
        <f t="shared" si="66"/>
        <v/>
      </c>
      <c r="AC261" s="347" t="str">
        <f t="shared" si="66"/>
        <v/>
      </c>
      <c r="AD261" s="347" t="str">
        <f t="shared" si="66"/>
        <v/>
      </c>
      <c r="AE261" s="347" t="str">
        <f t="shared" si="66"/>
        <v/>
      </c>
      <c r="AF261" s="347" t="str">
        <f t="shared" si="66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B9:AF10 C99:AF99 C101:AF106 Z11:AF11">
    <cfRule type="expression" dxfId="1393" priority="241">
      <formula>B$9&gt;=20/24</formula>
    </cfRule>
    <cfRule type="expression" dxfId="1392" priority="242">
      <formula>AND(B$9&gt;=14/24,B$9&lt;20/24)</formula>
    </cfRule>
    <cfRule type="expression" dxfId="1391" priority="243">
      <formula>AND(B$9&gt;=8/24,B$9&lt;14/24)</formula>
    </cfRule>
    <cfRule type="expression" dxfId="1390" priority="244">
      <formula>B$9&lt;8/24</formula>
    </cfRule>
  </conditionalFormatting>
  <conditionalFormatting sqref="AL4:AL6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389" priority="236">
      <formula>S$9&gt;=20/24</formula>
    </cfRule>
    <cfRule type="expression" dxfId="1388" priority="237">
      <formula>AND(S$9&gt;=14/24,S$9&lt;20/24)</formula>
    </cfRule>
    <cfRule type="expression" dxfId="1387" priority="238">
      <formula>AND(S$9&gt;=8/24,S$9&lt;14/24)</formula>
    </cfRule>
    <cfRule type="expression" dxfId="1386" priority="239">
      <formula>S$9&lt;8/24</formula>
    </cfRule>
  </conditionalFormatting>
  <conditionalFormatting sqref="AG55 B12:R16 S37:AF37 B35:AF35 S11:AF16">
    <cfRule type="expression" dxfId="1385" priority="235">
      <formula>B11&gt;$AG11</formula>
    </cfRule>
  </conditionalFormatting>
  <conditionalFormatting sqref="A89:A99 A11:A14 A49:A76 A85:A87 A192:A222 A16:A30 A36:A47 A108:A179 A32:A33 A81:A83 A78:A79 A101:A103">
    <cfRule type="expression" dxfId="1384" priority="234">
      <formula>$AH11=0</formula>
    </cfRule>
  </conditionalFormatting>
  <conditionalFormatting sqref="A104">
    <cfRule type="expression" dxfId="1383" priority="233">
      <formula>$AH104=0</formula>
    </cfRule>
  </conditionalFormatting>
  <conditionalFormatting sqref="AL3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382" priority="231">
      <formula>$AH35=0</formula>
    </cfRule>
  </conditionalFormatting>
  <conditionalFormatting sqref="A88">
    <cfRule type="expression" dxfId="1381" priority="230">
      <formula>$AH88=0</formula>
    </cfRule>
  </conditionalFormatting>
  <conditionalFormatting sqref="A15">
    <cfRule type="expression" dxfId="1380" priority="229">
      <formula>$AH15=0</formula>
    </cfRule>
  </conditionalFormatting>
  <conditionalFormatting sqref="A186:A191">
    <cfRule type="expression" dxfId="1379" priority="228">
      <formula>$AH186=0</formula>
    </cfRule>
  </conditionalFormatting>
  <conditionalFormatting sqref="A180:A185">
    <cfRule type="expression" dxfId="1378" priority="227">
      <formula>$AH180=0</formula>
    </cfRule>
  </conditionalFormatting>
  <conditionalFormatting sqref="A48">
    <cfRule type="expression" dxfId="1377" priority="226">
      <formula>$AH48=0</formula>
    </cfRule>
  </conditionalFormatting>
  <conditionalFormatting sqref="A84">
    <cfRule type="expression" dxfId="1376" priority="225">
      <formula>$AH84=0</formula>
    </cfRule>
  </conditionalFormatting>
  <conditionalFormatting sqref="C89:AF89">
    <cfRule type="expression" dxfId="1375" priority="221">
      <formula>C$9&gt;=20/24</formula>
    </cfRule>
    <cfRule type="expression" dxfId="1374" priority="222">
      <formula>AND(C$9&gt;=14/24,C$9&lt;20/24)</formula>
    </cfRule>
    <cfRule type="expression" dxfId="1373" priority="223">
      <formula>AND(C$9&gt;=8/24,C$9&lt;14/24)</formula>
    </cfRule>
    <cfRule type="expression" dxfId="1372" priority="224">
      <formula>C$9&lt;8/24</formula>
    </cfRule>
  </conditionalFormatting>
  <conditionalFormatting sqref="AL34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371" priority="247">
      <formula>C$9&gt;=20/24</formula>
    </cfRule>
    <cfRule type="expression" dxfId="1370" priority="248">
      <formula>AND(C$9&gt;=14/24,C$9&lt;20/24)</formula>
    </cfRule>
    <cfRule type="expression" dxfId="1369" priority="249">
      <formula>AND(C$9&gt;=8/24,C$9&lt;14/24)</formula>
    </cfRule>
    <cfRule type="expression" dxfId="1368" priority="250">
      <formula>C$9&lt;8/24</formula>
    </cfRule>
  </conditionalFormatting>
  <conditionalFormatting sqref="A223">
    <cfRule type="expression" dxfId="1367" priority="251">
      <formula>$AH223=0</formula>
    </cfRule>
  </conditionalFormatting>
  <conditionalFormatting sqref="AG235">
    <cfRule type="expression" dxfId="1366" priority="252">
      <formula>B$9&gt;=20/24</formula>
    </cfRule>
    <cfRule type="expression" dxfId="1365" priority="253">
      <formula>AND(B$9&gt;=14/24,B$9&lt;20/24)</formula>
    </cfRule>
    <cfRule type="expression" dxfId="1364" priority="254">
      <formula>AND(B$9&gt;=8/24,B$9&lt;14/24)</formula>
    </cfRule>
    <cfRule type="expression" dxfId="1363" priority="255">
      <formula>B$9&lt;8/24</formula>
    </cfRule>
  </conditionalFormatting>
  <conditionalFormatting sqref="S8">
    <cfRule type="expression" dxfId="1362" priority="216">
      <formula>U$9&gt;=20/24</formula>
    </cfRule>
    <cfRule type="expression" dxfId="1361" priority="217">
      <formula>AND(U$9&gt;=14/24,U$9&lt;20/24)</formula>
    </cfRule>
    <cfRule type="expression" dxfId="1360" priority="218">
      <formula>AND(U$9&gt;=8/24,U$9&lt;14/24)</formula>
    </cfRule>
    <cfRule type="expression" dxfId="1359" priority="219">
      <formula>U$9&lt;8/24</formula>
    </cfRule>
  </conditionalFormatting>
  <conditionalFormatting sqref="AB8">
    <cfRule type="expression" dxfId="1358" priority="212">
      <formula>AD$9&gt;=20/24</formula>
    </cfRule>
    <cfRule type="expression" dxfId="1357" priority="213">
      <formula>AND(AD$9&gt;=14/24,AD$9&lt;20/24)</formula>
    </cfRule>
    <cfRule type="expression" dxfId="1356" priority="214">
      <formula>AND(AD$9&gt;=8/24,AD$9&lt;14/24)</formula>
    </cfRule>
    <cfRule type="expression" dxfId="1355" priority="215">
      <formula>AD$9&lt;8/24</formula>
    </cfRule>
  </conditionalFormatting>
  <conditionalFormatting sqref="AH235:AX235">
    <cfRule type="expression" dxfId="1354" priority="256">
      <formula>AG$9&gt;=20/24</formula>
    </cfRule>
    <cfRule type="expression" dxfId="1353" priority="257">
      <formula>AND(AG$9&gt;=14/24,AG$9&lt;20/24)</formula>
    </cfRule>
    <cfRule type="expression" dxfId="1352" priority="258">
      <formula>AND(AG$9&gt;=8/24,AG$9&lt;14/24)</formula>
    </cfRule>
    <cfRule type="expression" dxfId="1351" priority="259">
      <formula>AG$9&lt;8/24</formula>
    </cfRule>
  </conditionalFormatting>
  <conditionalFormatting sqref="T235">
    <cfRule type="expression" dxfId="1350" priority="260">
      <formula>AX$9&gt;=20/24</formula>
    </cfRule>
    <cfRule type="expression" dxfId="1349" priority="261">
      <formula>AND(AX$9&gt;=14/24,AX$9&lt;20/24)</formula>
    </cfRule>
    <cfRule type="expression" dxfId="1348" priority="262">
      <formula>AND(AX$9&gt;=8/24,AX$9&lt;14/24)</formula>
    </cfRule>
    <cfRule type="expression" dxfId="1347" priority="263">
      <formula>AX$9&lt;8/24</formula>
    </cfRule>
  </conditionalFormatting>
  <conditionalFormatting sqref="A105:A106">
    <cfRule type="expression" dxfId="1346" priority="211">
      <formula>$AH105=0</formula>
    </cfRule>
  </conditionalFormatting>
  <conditionalFormatting sqref="C61:AF61 G44:W45 Z36:AF36 Y44:AF45">
    <cfRule type="expression" dxfId="1345" priority="207">
      <formula>C$9&gt;=20/24</formula>
    </cfRule>
    <cfRule type="expression" dxfId="1344" priority="208">
      <formula>AND(C$9&gt;=14/24,C$9&lt;20/24)</formula>
    </cfRule>
    <cfRule type="expression" dxfId="1343" priority="209">
      <formula>AND(C$9&gt;=8/24,C$9&lt;14/24)</formula>
    </cfRule>
    <cfRule type="expression" dxfId="1342" priority="210">
      <formula>C$9&lt;8/24</formula>
    </cfRule>
  </conditionalFormatting>
  <conditionalFormatting sqref="G43:W43 Y43:AF43">
    <cfRule type="expression" dxfId="1341" priority="203">
      <formula>G$9&gt;=20/24</formula>
    </cfRule>
    <cfRule type="expression" dxfId="1340" priority="204">
      <formula>AND(G$9&gt;=14/24,G$9&lt;20/24)</formula>
    </cfRule>
    <cfRule type="expression" dxfId="1339" priority="205">
      <formula>AND(G$9&gt;=8/24,G$9&lt;14/24)</formula>
    </cfRule>
    <cfRule type="expression" dxfId="1338" priority="206">
      <formula>G$9&lt;8/24</formula>
    </cfRule>
  </conditionalFormatting>
  <conditionalFormatting sqref="G43:W45 Z36:AF36 Y43:AF45">
    <cfRule type="expression" dxfId="1337" priority="202">
      <formula>G36&gt;$AG36</formula>
    </cfRule>
  </conditionalFormatting>
  <conditionalFormatting sqref="C86:AF86 C76:AF76 C62:L63 F64:L67 S62:AF63 M37:R37 M62:R67 W36:Y36 S18:Y21 F71:Y71 S64:Y67 E57:AF59 Z64:AF71 F73:AF75 Z24:AF26 Z28:AF32 Z18:AF22 S12:AF14 S16:AF16 C90:AF96">
    <cfRule type="expression" dxfId="1336" priority="198">
      <formula>C$9&gt;=20/24</formula>
    </cfRule>
    <cfRule type="expression" dxfId="1335" priority="199">
      <formula>AND(C$9&gt;=14/24,C$9&lt;20/24)</formula>
    </cfRule>
    <cfRule type="expression" dxfId="1334" priority="200">
      <formula>AND(C$9&gt;=8/24,C$9&lt;14/24)</formula>
    </cfRule>
    <cfRule type="expression" dxfId="1333" priority="201">
      <formula>C$9&lt;8/24</formula>
    </cfRule>
  </conditionalFormatting>
  <conditionalFormatting sqref="Z33:AF33">
    <cfRule type="expression" dxfId="1332" priority="194">
      <formula>Z$9&gt;=20/24</formula>
    </cfRule>
    <cfRule type="expression" dxfId="1331" priority="195">
      <formula>AND(Z$9&gt;=14/24,Z$9&lt;20/24)</formula>
    </cfRule>
    <cfRule type="expression" dxfId="1330" priority="196">
      <formula>AND(Z$9&gt;=8/24,Z$9&lt;14/24)</formula>
    </cfRule>
    <cfRule type="expression" dxfId="1329" priority="197">
      <formula>Z$9&lt;8/24</formula>
    </cfRule>
  </conditionalFormatting>
  <conditionalFormatting sqref="G47:L48 C55:AF55 C37:R37 G46:R46 W36:Y36 S18:Y21 E57:AF59 Z24:AF33 Z18:AF22 AB46:AF47">
    <cfRule type="expression" dxfId="1328" priority="193">
      <formula>C18&gt;$AG18</formula>
    </cfRule>
  </conditionalFormatting>
  <conditionalFormatting sqref="W35:AF35">
    <cfRule type="expression" dxfId="1327" priority="189">
      <formula>W$9&gt;=20/24</formula>
    </cfRule>
    <cfRule type="expression" dxfId="1326" priority="190">
      <formula>AND(W$9&gt;=14/24,W$9&lt;20/24)</formula>
    </cfRule>
    <cfRule type="expression" dxfId="1325" priority="191">
      <formula>AND(W$9&gt;=8/24,W$9&lt;14/24)</formula>
    </cfRule>
    <cfRule type="expression" dxfId="1324" priority="192">
      <formula>W$9&lt;8/24</formula>
    </cfRule>
  </conditionalFormatting>
  <conditionalFormatting sqref="S15:AF15">
    <cfRule type="expression" dxfId="1323" priority="185">
      <formula>S$9&gt;=20/24</formula>
    </cfRule>
    <cfRule type="expression" dxfId="1322" priority="186">
      <formula>AND(S$9&gt;=14/24,S$9&lt;20/24)</formula>
    </cfRule>
    <cfRule type="expression" dxfId="1321" priority="187">
      <formula>AND(S$9&gt;=8/24,S$9&lt;14/24)</formula>
    </cfRule>
    <cfRule type="expression" dxfId="1320" priority="188">
      <formula>S$9&lt;8/24</formula>
    </cfRule>
  </conditionalFormatting>
  <conditionalFormatting sqref="Z34:AF34">
    <cfRule type="expression" dxfId="1319" priority="181">
      <formula>Z$9&gt;=20/24</formula>
    </cfRule>
    <cfRule type="expression" dxfId="1318" priority="182">
      <formula>AND(Z$9&gt;=14/24,Z$9&lt;20/24)</formula>
    </cfRule>
    <cfRule type="expression" dxfId="1317" priority="183">
      <formula>AND(Z$9&gt;=8/24,Z$9&lt;14/24)</formula>
    </cfRule>
    <cfRule type="expression" dxfId="1316" priority="184">
      <formula>Z$9&lt;8/24</formula>
    </cfRule>
  </conditionalFormatting>
  <conditionalFormatting sqref="Z34:AF34">
    <cfRule type="expression" dxfId="1315" priority="180">
      <formula>Z34&gt;$AG34</formula>
    </cfRule>
  </conditionalFormatting>
  <conditionalFormatting sqref="S11:Y11">
    <cfRule type="expression" dxfId="1314" priority="176">
      <formula>S$9&gt;=20/24</formula>
    </cfRule>
    <cfRule type="expression" dxfId="1313" priority="177">
      <formula>AND(S$9&gt;=14/24,S$9&lt;20/24)</formula>
    </cfRule>
    <cfRule type="expression" dxfId="1312" priority="178">
      <formula>AND(S$9&gt;=8/24,S$9&lt;14/24)</formula>
    </cfRule>
    <cfRule type="expression" dxfId="1311" priority="179">
      <formula>S$9&lt;8/24</formula>
    </cfRule>
  </conditionalFormatting>
  <conditionalFormatting sqref="V46:AA46 Z47:AA47 AB48:AF54">
    <cfRule type="expression" dxfId="1310" priority="172">
      <formula>V$9&gt;=20/24</formula>
    </cfRule>
    <cfRule type="expression" dxfId="1309" priority="173">
      <formula>AND(V$9&gt;=14/24,V$9&lt;20/24)</formula>
    </cfRule>
    <cfRule type="expression" dxfId="1308" priority="174">
      <formula>AND(V$9&gt;=8/24,V$9&lt;14/24)</formula>
    </cfRule>
    <cfRule type="expression" dxfId="1307" priority="175">
      <formula>V$9&lt;8/24</formula>
    </cfRule>
  </conditionalFormatting>
  <conditionalFormatting sqref="V46:AA46 Z47:AA47 AB48:AF54">
    <cfRule type="expression" dxfId="1306" priority="171">
      <formula>V46&gt;$AG46</formula>
    </cfRule>
  </conditionalFormatting>
  <conditionalFormatting sqref="M47:R48 S46:U54 V47:Y54 Z48:AA54">
    <cfRule type="expression" dxfId="1305" priority="167">
      <formula>M$9&gt;=20/24</formula>
    </cfRule>
    <cfRule type="expression" dxfId="1304" priority="168">
      <formula>AND(M$9&gt;=14/24,M$9&lt;20/24)</formula>
    </cfRule>
    <cfRule type="expression" dxfId="1303" priority="169">
      <formula>AND(M$9&gt;=8/24,M$9&lt;14/24)</formula>
    </cfRule>
    <cfRule type="expression" dxfId="1302" priority="170">
      <formula>M$9&lt;8/24</formula>
    </cfRule>
  </conditionalFormatting>
  <conditionalFormatting sqref="M47:R48 S46:U54 V47:Y54 Z48:AA54">
    <cfRule type="expression" dxfId="1301" priority="166">
      <formula>M46&gt;$AG46</formula>
    </cfRule>
  </conditionalFormatting>
  <conditionalFormatting sqref="Z27:AF27">
    <cfRule type="expression" dxfId="1300" priority="162">
      <formula>Z$9&gt;=20/24</formula>
    </cfRule>
    <cfRule type="expression" dxfId="1299" priority="163">
      <formula>AND(Z$9&gt;=14/24,Z$9&lt;20/24)</formula>
    </cfRule>
    <cfRule type="expression" dxfId="1298" priority="164">
      <formula>AND(Z$9&gt;=8/24,Z$9&lt;14/24)</formula>
    </cfRule>
    <cfRule type="expression" dxfId="1297" priority="165">
      <formula>Z$9&lt;8/24</formula>
    </cfRule>
  </conditionalFormatting>
  <conditionalFormatting sqref="Z23:AF23 S17:AF17">
    <cfRule type="expression" dxfId="1296" priority="158">
      <formula>S$9&gt;=20/24</formula>
    </cfRule>
    <cfRule type="expression" dxfId="1295" priority="159">
      <formula>AND(S$9&gt;=14/24,S$9&lt;20/24)</formula>
    </cfRule>
    <cfRule type="expression" dxfId="1294" priority="160">
      <formula>AND(S$9&gt;=8/24,S$9&lt;14/24)</formula>
    </cfRule>
    <cfRule type="expression" dxfId="1293" priority="161">
      <formula>S$9&lt;8/24</formula>
    </cfRule>
  </conditionalFormatting>
  <conditionalFormatting sqref="Z23:AF23 S17:AF17">
    <cfRule type="expression" dxfId="1292" priority="153">
      <formula>S17&gt;$AG17</formula>
    </cfRule>
  </conditionalFormatting>
  <conditionalFormatting sqref="D44:F45">
    <cfRule type="expression" dxfId="1291" priority="136">
      <formula>D$9&gt;=20/24</formula>
    </cfRule>
    <cfRule type="expression" dxfId="1290" priority="137">
      <formula>AND(D$9&gt;=14/24,D$9&lt;20/24)</formula>
    </cfRule>
    <cfRule type="expression" dxfId="1289" priority="138">
      <formula>AND(D$9&gt;=8/24,D$9&lt;14/24)</formula>
    </cfRule>
    <cfRule type="expression" dxfId="1288" priority="139">
      <formula>D$9&lt;8/24</formula>
    </cfRule>
  </conditionalFormatting>
  <conditionalFormatting sqref="D43:F43">
    <cfRule type="expression" dxfId="1287" priority="132">
      <formula>D$9&gt;=20/24</formula>
    </cfRule>
    <cfRule type="expression" dxfId="1286" priority="133">
      <formula>AND(D$9&gt;=14/24,D$9&lt;20/24)</formula>
    </cfRule>
    <cfRule type="expression" dxfId="1285" priority="134">
      <formula>AND(D$9&gt;=8/24,D$9&lt;14/24)</formula>
    </cfRule>
    <cfRule type="expression" dxfId="1284" priority="135">
      <formula>D$9&lt;8/24</formula>
    </cfRule>
  </conditionalFormatting>
  <conditionalFormatting sqref="D43:F45">
    <cfRule type="expression" dxfId="1283" priority="131">
      <formula>D43&gt;$AG43</formula>
    </cfRule>
  </conditionalFormatting>
  <conditionalFormatting sqref="F68:Y70">
    <cfRule type="expression" dxfId="1282" priority="127">
      <formula>F$9&gt;=20/24</formula>
    </cfRule>
    <cfRule type="expression" dxfId="1281" priority="128">
      <formula>AND(F$9&gt;=14/24,F$9&lt;20/24)</formula>
    </cfRule>
    <cfRule type="expression" dxfId="1280" priority="129">
      <formula>AND(F$9&gt;=8/24,F$9&lt;14/24)</formula>
    </cfRule>
    <cfRule type="expression" dxfId="1279" priority="130">
      <formula>F$9&lt;8/24</formula>
    </cfRule>
  </conditionalFormatting>
  <conditionalFormatting sqref="D46:F46">
    <cfRule type="expression" dxfId="1278" priority="126">
      <formula>D46&gt;$AG46</formula>
    </cfRule>
  </conditionalFormatting>
  <conditionalFormatting sqref="G49:R49">
    <cfRule type="expression" dxfId="1277" priority="122">
      <formula>G$9&gt;=20/24</formula>
    </cfRule>
    <cfRule type="expression" dxfId="1276" priority="123">
      <formula>AND(G$9&gt;=14/24,G$9&lt;20/24)</formula>
    </cfRule>
    <cfRule type="expression" dxfId="1275" priority="124">
      <formula>AND(G$9&gt;=8/24,G$9&lt;14/24)</formula>
    </cfRule>
    <cfRule type="expression" dxfId="1274" priority="125">
      <formula>G$9&lt;8/24</formula>
    </cfRule>
  </conditionalFormatting>
  <conditionalFormatting sqref="G49:R49">
    <cfRule type="expression" dxfId="1273" priority="121">
      <formula>G49&gt;$AG49</formula>
    </cfRule>
  </conditionalFormatting>
  <conditionalFormatting sqref="X44:X45">
    <cfRule type="expression" dxfId="1272" priority="117">
      <formula>X$9&gt;=20/24</formula>
    </cfRule>
    <cfRule type="expression" dxfId="1271" priority="118">
      <formula>AND(X$9&gt;=14/24,X$9&lt;20/24)</formula>
    </cfRule>
    <cfRule type="expression" dxfId="1270" priority="119">
      <formula>AND(X$9&gt;=8/24,X$9&lt;14/24)</formula>
    </cfRule>
    <cfRule type="expression" dxfId="1269" priority="120">
      <formula>X$9&lt;8/24</formula>
    </cfRule>
  </conditionalFormatting>
  <conditionalFormatting sqref="X43">
    <cfRule type="expression" dxfId="1268" priority="113">
      <formula>X$9&gt;=20/24</formula>
    </cfRule>
    <cfRule type="expression" dxfId="1267" priority="114">
      <formula>AND(X$9&gt;=14/24,X$9&lt;20/24)</formula>
    </cfRule>
    <cfRule type="expression" dxfId="1266" priority="115">
      <formula>AND(X$9&gt;=8/24,X$9&lt;14/24)</formula>
    </cfRule>
    <cfRule type="expression" dxfId="1265" priority="116">
      <formula>X$9&lt;8/24</formula>
    </cfRule>
  </conditionalFormatting>
  <conditionalFormatting sqref="X43:X45">
    <cfRule type="expression" dxfId="1264" priority="112">
      <formula>X43&gt;$AG43</formula>
    </cfRule>
  </conditionalFormatting>
  <conditionalFormatting sqref="B99 B78:AF78 B87:AF87 B101:B106 B11:R11">
    <cfRule type="expression" dxfId="1263" priority="108">
      <formula>B$9&gt;=20/24</formula>
    </cfRule>
    <cfRule type="expression" dxfId="1262" priority="109">
      <formula>AND(B$9&gt;=14/24,B$9&lt;20/24)</formula>
    </cfRule>
    <cfRule type="expression" dxfId="1261" priority="110">
      <formula>AND(B$9&gt;=8/24,B$9&lt;14/24)</formula>
    </cfRule>
    <cfRule type="expression" dxfId="1260" priority="111">
      <formula>B$9&lt;8/24</formula>
    </cfRule>
  </conditionalFormatting>
  <conditionalFormatting sqref="B37">
    <cfRule type="expression" dxfId="1259" priority="104">
      <formula>B$9&gt;=20/24</formula>
    </cfRule>
    <cfRule type="expression" dxfId="1258" priority="105">
      <formula>AND(B$9&gt;=14/24,B$9&lt;20/24)</formula>
    </cfRule>
    <cfRule type="expression" dxfId="1257" priority="106">
      <formula>AND(B$9&gt;=8/24,B$9&lt;14/24)</formula>
    </cfRule>
    <cfRule type="expression" dxfId="1256" priority="107">
      <formula>B$9&lt;8/24</formula>
    </cfRule>
  </conditionalFormatting>
  <conditionalFormatting sqref="B37 B11:R11">
    <cfRule type="expression" dxfId="1255" priority="103">
      <formula>B11&gt;$AG11</formula>
    </cfRule>
  </conditionalFormatting>
  <conditionalFormatting sqref="B89">
    <cfRule type="expression" dxfId="1254" priority="99">
      <formula>B$9&gt;=20/24</formula>
    </cfRule>
    <cfRule type="expression" dxfId="1253" priority="100">
      <formula>AND(B$9&gt;=14/24,B$9&lt;20/24)</formula>
    </cfRule>
    <cfRule type="expression" dxfId="1252" priority="101">
      <formula>AND(B$9&gt;=8/24,B$9&lt;14/24)</formula>
    </cfRule>
    <cfRule type="expression" dxfId="1251" priority="102">
      <formula>B$9&lt;8/24</formula>
    </cfRule>
  </conditionalFormatting>
  <conditionalFormatting sqref="B61 B44:C45 B36:V36">
    <cfRule type="expression" dxfId="1250" priority="95">
      <formula>B$9&gt;=20/24</formula>
    </cfRule>
    <cfRule type="expression" dxfId="1249" priority="96">
      <formula>AND(B$9&gt;=14/24,B$9&lt;20/24)</formula>
    </cfRule>
    <cfRule type="expression" dxfId="1248" priority="97">
      <formula>AND(B$9&gt;=8/24,B$9&lt;14/24)</formula>
    </cfRule>
    <cfRule type="expression" dxfId="1247" priority="98">
      <formula>B$9&lt;8/24</formula>
    </cfRule>
  </conditionalFormatting>
  <conditionalFormatting sqref="B43:C43">
    <cfRule type="expression" dxfId="1246" priority="91">
      <formula>B$9&gt;=20/24</formula>
    </cfRule>
    <cfRule type="expression" dxfId="1245" priority="92">
      <formula>AND(B$9&gt;=14/24,B$9&lt;20/24)</formula>
    </cfRule>
    <cfRule type="expression" dxfId="1244" priority="93">
      <formula>AND(B$9&gt;=8/24,B$9&lt;14/24)</formula>
    </cfRule>
    <cfRule type="expression" dxfId="1243" priority="94">
      <formula>B$9&lt;8/24</formula>
    </cfRule>
  </conditionalFormatting>
  <conditionalFormatting sqref="B43:C45 B36:V36">
    <cfRule type="expression" dxfId="1242" priority="90">
      <formula>B36&gt;$AG36</formula>
    </cfRule>
  </conditionalFormatting>
  <conditionalFormatting sqref="B90:B96 B57:B60 B62:B71 B73:B77 B79:AF79 B86 C77:AG77 B88:AF88 C57:D59 C64:E71 C73:E75 C60:AG60 B12:R14 B16:R16 B18:R22 S22:Y22 B24:Y26 B28:Y32">
    <cfRule type="expression" dxfId="1241" priority="86">
      <formula>B$9&gt;=20/24</formula>
    </cfRule>
    <cfRule type="expression" dxfId="1240" priority="87">
      <formula>AND(B$9&gt;=14/24,B$9&lt;20/24)</formula>
    </cfRule>
    <cfRule type="expression" dxfId="1239" priority="88">
      <formula>AND(B$9&gt;=8/24,B$9&lt;14/24)</formula>
    </cfRule>
    <cfRule type="expression" dxfId="1238" priority="89">
      <formula>B$9&lt;8/24</formula>
    </cfRule>
  </conditionalFormatting>
  <conditionalFormatting sqref="B33:Y33">
    <cfRule type="expression" dxfId="1237" priority="82">
      <formula>B$9&gt;=20/24</formula>
    </cfRule>
    <cfRule type="expression" dxfId="1236" priority="83">
      <formula>AND(B$9&gt;=14/24,B$9&lt;20/24)</formula>
    </cfRule>
    <cfRule type="expression" dxfId="1235" priority="84">
      <formula>AND(B$9&gt;=8/24,B$9&lt;14/24)</formula>
    </cfRule>
    <cfRule type="expression" dxfId="1234" priority="85">
      <formula>B$9&lt;8/24</formula>
    </cfRule>
  </conditionalFormatting>
  <conditionalFormatting sqref="B55:B60 B38:AG38 C56:AG56 B46:C47 C57:D59 D47:F47 C60:AG60 B18:R22 S22:Y22 B24:Y33">
    <cfRule type="expression" dxfId="1233" priority="81">
      <formula>B18&gt;$AG18</formula>
    </cfRule>
  </conditionalFormatting>
  <conditionalFormatting sqref="B35:V35">
    <cfRule type="expression" dxfId="1232" priority="77">
      <formula>B$9&gt;=20/24</formula>
    </cfRule>
    <cfRule type="expression" dxfId="1231" priority="78">
      <formula>AND(B$9&gt;=14/24,B$9&lt;20/24)</formula>
    </cfRule>
    <cfRule type="expression" dxfId="1230" priority="79">
      <formula>AND(B$9&gt;=8/24,B$9&lt;14/24)</formula>
    </cfRule>
    <cfRule type="expression" dxfId="1229" priority="80">
      <formula>B$9&lt;8/24</formula>
    </cfRule>
  </conditionalFormatting>
  <conditionalFormatting sqref="B15:R15">
    <cfRule type="expression" dxfId="1228" priority="73">
      <formula>B$9&gt;=20/24</formula>
    </cfRule>
    <cfRule type="expression" dxfId="1227" priority="74">
      <formula>AND(B$9&gt;=14/24,B$9&lt;20/24)</formula>
    </cfRule>
    <cfRule type="expression" dxfId="1226" priority="75">
      <formula>AND(B$9&gt;=8/24,B$9&lt;14/24)</formula>
    </cfRule>
    <cfRule type="expression" dxfId="1225" priority="76">
      <formula>B$9&lt;8/24</formula>
    </cfRule>
  </conditionalFormatting>
  <conditionalFormatting sqref="B34:Y34">
    <cfRule type="expression" dxfId="1224" priority="69">
      <formula>B$9&gt;=20/24</formula>
    </cfRule>
    <cfRule type="expression" dxfId="1223" priority="70">
      <formula>AND(B$9&gt;=14/24,B$9&lt;20/24)</formula>
    </cfRule>
    <cfRule type="expression" dxfId="1222" priority="71">
      <formula>AND(B$9&gt;=8/24,B$9&lt;14/24)</formula>
    </cfRule>
    <cfRule type="expression" dxfId="1221" priority="72">
      <formula>B$9&lt;8/24</formula>
    </cfRule>
  </conditionalFormatting>
  <conditionalFormatting sqref="B34:Y34">
    <cfRule type="expression" dxfId="1220" priority="68">
      <formula>B34&gt;$AG34</formula>
    </cfRule>
  </conditionalFormatting>
  <conditionalFormatting sqref="B48:F54 G50:R54">
    <cfRule type="expression" dxfId="1219" priority="64">
      <formula>B$9&gt;=20/24</formula>
    </cfRule>
    <cfRule type="expression" dxfId="1218" priority="65">
      <formula>AND(B$9&gt;=14/24,B$9&lt;20/24)</formula>
    </cfRule>
    <cfRule type="expression" dxfId="1217" priority="66">
      <formula>AND(B$9&gt;=8/24,B$9&lt;14/24)</formula>
    </cfRule>
    <cfRule type="expression" dxfId="1216" priority="67">
      <formula>B$9&lt;8/24</formula>
    </cfRule>
  </conditionalFormatting>
  <conditionalFormatting sqref="B48:F54 G50:R54">
    <cfRule type="expression" dxfId="1215" priority="63">
      <formula>B48&gt;$AG48</formula>
    </cfRule>
  </conditionalFormatting>
  <conditionalFormatting sqref="B27:Y27">
    <cfRule type="expression" dxfId="1214" priority="59">
      <formula>B$9&gt;=20/24</formula>
    </cfRule>
    <cfRule type="expression" dxfId="1213" priority="60">
      <formula>AND(B$9&gt;=14/24,B$9&lt;20/24)</formula>
    </cfRule>
    <cfRule type="expression" dxfId="1212" priority="61">
      <formula>AND(B$9&gt;=8/24,B$9&lt;14/24)</formula>
    </cfRule>
    <cfRule type="expression" dxfId="1211" priority="62">
      <formula>B$9&lt;8/24</formula>
    </cfRule>
  </conditionalFormatting>
  <conditionalFormatting sqref="B17:R17 B23:Y23">
    <cfRule type="expression" dxfId="1210" priority="55">
      <formula>B$9&gt;=20/24</formula>
    </cfRule>
    <cfRule type="expression" dxfId="1209" priority="56">
      <formula>AND(B$9&gt;=14/24,B$9&lt;20/24)</formula>
    </cfRule>
    <cfRule type="expression" dxfId="1208" priority="57">
      <formula>AND(B$9&gt;=8/24,B$9&lt;14/24)</formula>
    </cfRule>
    <cfRule type="expression" dxfId="1207" priority="58">
      <formula>B$9&lt;8/24</formula>
    </cfRule>
  </conditionalFormatting>
  <conditionalFormatting sqref="B17:R17 B23:Y23">
    <cfRule type="expression" dxfId="1206" priority="54">
      <formula>B17&gt;$AG17</formula>
    </cfRule>
  </conditionalFormatting>
  <conditionalFormatting sqref="A34">
    <cfRule type="expression" dxfId="1205" priority="53">
      <formula>$AH34=0</formula>
    </cfRule>
  </conditionalFormatting>
  <conditionalFormatting sqref="B72:AF72">
    <cfRule type="expression" dxfId="1204" priority="49">
      <formula>B$9&gt;=20/24</formula>
    </cfRule>
    <cfRule type="expression" dxfId="1203" priority="50">
      <formula>AND(B$9&gt;=14/24,B$9&lt;20/24)</formula>
    </cfRule>
    <cfRule type="expression" dxfId="1202" priority="51">
      <formula>AND(B$9&gt;=8/24,B$9&lt;14/24)</formula>
    </cfRule>
    <cfRule type="expression" dxfId="1201" priority="52">
      <formula>B$9&lt;8/24</formula>
    </cfRule>
  </conditionalFormatting>
  <conditionalFormatting sqref="B81:AF85">
    <cfRule type="expression" dxfId="1200" priority="45">
      <formula>B$9&gt;=20/24</formula>
    </cfRule>
    <cfRule type="expression" dxfId="1199" priority="46">
      <formula>AND(B$9&gt;=14/24,B$9&lt;20/24)</formula>
    </cfRule>
    <cfRule type="expression" dxfId="1198" priority="47">
      <formula>AND(B$9&gt;=8/24,B$9&lt;14/24)</formula>
    </cfRule>
    <cfRule type="expression" dxfId="1197" priority="48">
      <formula>B$9&lt;8/24</formula>
    </cfRule>
  </conditionalFormatting>
  <conditionalFormatting sqref="AL35 AL7:AL30 AL32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1196" priority="41">
      <formula>E$9&gt;=20/24</formula>
    </cfRule>
    <cfRule type="expression" dxfId="1195" priority="42">
      <formula>AND(E$9&gt;=14/24,E$9&lt;20/24)</formula>
    </cfRule>
    <cfRule type="expression" dxfId="1194" priority="43">
      <formula>AND(E$9&gt;=8/24,E$9&lt;14/24)</formula>
    </cfRule>
    <cfRule type="expression" dxfId="1193" priority="44">
      <formula>E$9&lt;8/24</formula>
    </cfRule>
  </conditionalFormatting>
  <conditionalFormatting sqref="E39:AF41">
    <cfRule type="expression" dxfId="1192" priority="40">
      <formula>E39&gt;$AG39</formula>
    </cfRule>
  </conditionalFormatting>
  <conditionalFormatting sqref="B39:B42 C42:AG42 C39:D41">
    <cfRule type="expression" dxfId="1191" priority="36">
      <formula>B$9&gt;=20/24</formula>
    </cfRule>
    <cfRule type="expression" dxfId="1190" priority="37">
      <formula>AND(B$9&gt;=14/24,B$9&lt;20/24)</formula>
    </cfRule>
    <cfRule type="expression" dxfId="1189" priority="38">
      <formula>AND(B$9&gt;=8/24,B$9&lt;14/24)</formula>
    </cfRule>
    <cfRule type="expression" dxfId="1188" priority="39">
      <formula>B$9&lt;8/24</formula>
    </cfRule>
  </conditionalFormatting>
  <conditionalFormatting sqref="B39:B42 C42:AG42 C39:D41">
    <cfRule type="expression" dxfId="1187" priority="35">
      <formula>B39&gt;$AG39</formula>
    </cfRule>
  </conditionalFormatting>
  <conditionalFormatting sqref="C97:AF97">
    <cfRule type="expression" dxfId="1186" priority="31">
      <formula>C$9&gt;=20/24</formula>
    </cfRule>
    <cfRule type="expression" dxfId="1185" priority="32">
      <formula>AND(C$9&gt;=14/24,C$9&lt;20/24)</formula>
    </cfRule>
    <cfRule type="expression" dxfId="1184" priority="33">
      <formula>AND(C$9&gt;=8/24,C$9&lt;14/24)</formula>
    </cfRule>
    <cfRule type="expression" dxfId="1183" priority="34">
      <formula>C$9&lt;8/24</formula>
    </cfRule>
  </conditionalFormatting>
  <conditionalFormatting sqref="B97">
    <cfRule type="expression" dxfId="1182" priority="27">
      <formula>B$9&gt;=20/24</formula>
    </cfRule>
    <cfRule type="expression" dxfId="1181" priority="28">
      <formula>AND(B$9&gt;=14/24,B$9&lt;20/24)</formula>
    </cfRule>
    <cfRule type="expression" dxfId="1180" priority="29">
      <formula>AND(B$9&gt;=8/24,B$9&lt;14/24)</formula>
    </cfRule>
    <cfRule type="expression" dxfId="1179" priority="30">
      <formula>B$9&lt;8/24</formula>
    </cfRule>
  </conditionalFormatting>
  <conditionalFormatting sqref="AL31">
    <cfRule type="iconSet" priority="2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178" priority="21">
      <formula>$AH31=0</formula>
    </cfRule>
  </conditionalFormatting>
  <conditionalFormatting sqref="A80">
    <cfRule type="expression" dxfId="1177" priority="19">
      <formula>$AH80=0</formula>
    </cfRule>
  </conditionalFormatting>
  <conditionalFormatting sqref="A77">
    <cfRule type="expression" dxfId="1176" priority="20">
      <formula>$AH77=0</formula>
    </cfRule>
  </conditionalFormatting>
  <conditionalFormatting sqref="A107">
    <cfRule type="expression" dxfId="1175" priority="10">
      <formula>$AH107=0</formula>
    </cfRule>
  </conditionalFormatting>
  <conditionalFormatting sqref="C100:AF100">
    <cfRule type="expression" dxfId="1174" priority="6">
      <formula>C$9&gt;=20/24</formula>
    </cfRule>
    <cfRule type="expression" dxfId="1173" priority="7">
      <formula>AND(C$9&gt;=14/24,C$9&lt;20/24)</formula>
    </cfRule>
    <cfRule type="expression" dxfId="1172" priority="8">
      <formula>AND(C$9&gt;=8/24,C$9&lt;14/24)</formula>
    </cfRule>
    <cfRule type="expression" dxfId="1171" priority="9">
      <formula>C$9&lt;8/24</formula>
    </cfRule>
  </conditionalFormatting>
  <conditionalFormatting sqref="A100">
    <cfRule type="expression" dxfId="1170" priority="5">
      <formula>$AH100=0</formula>
    </cfRule>
  </conditionalFormatting>
  <conditionalFormatting sqref="B100">
    <cfRule type="expression" dxfId="1169" priority="1">
      <formula>B$9&gt;=20/24</formula>
    </cfRule>
    <cfRule type="expression" dxfId="1168" priority="2">
      <formula>AND(B$9&gt;=14/24,B$9&lt;20/24)</formula>
    </cfRule>
    <cfRule type="expression" dxfId="1167" priority="3">
      <formula>AND(B$9&gt;=8/24,B$9&lt;14/24)</formula>
    </cfRule>
    <cfRule type="expression" dxfId="1166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2EBC0E8E-B4DD-4F15-84E8-15F29E44290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F14EA69C-54C9-46C2-940C-851D5CC5501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id="{74658AD3-C02A-4B56-B197-A5448528C59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" id="{7AB0574D-1D8B-42CD-8888-3B3356BDB37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5" id="{CD61CF73-4A55-435B-ADE5-0234932E2FE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7FC3B1CD-1353-4B97-ABA0-412BC8276EB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034E4EFB-C880-4982-84A7-4D5BF090B84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E2862597-D521-46DB-8C25-CB80F2CBC63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11" id="{A74E1BEE-0551-481E-AB5B-C4AC60E82B5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07888CFD-B74D-4F62-8631-9E3F25217D6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F2E334E0-EB13-49F1-A628-562344BF5E0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" id="{D8D08CB6-1FF9-48DC-8C9D-71B2F0E63D6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CJ494"/>
  <sheetViews>
    <sheetView zoomScale="90" zoomScaleNormal="90" workbookViewId="0">
      <pane xSplit="1" ySplit="10" topLeftCell="B70" activePane="bottomRight" state="frozen"/>
      <selection activeCell="AF88" sqref="AF88"/>
      <selection pane="topRight" activeCell="AF88" sqref="AF88"/>
      <selection pane="bottomLeft" activeCell="AF88" sqref="AF88"/>
      <selection pane="bottomRight" activeCell="A90" sqref="A90:XFD94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"2079/"&amp;"05/"&amp;INT(MID(CELL("filename",D6),FIND("]",CELL("filename",D6))+1,200))</f>
        <v>2079/05/30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6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0</v>
      </c>
      <c r="AA5" s="205">
        <f t="shared" si="0"/>
        <v>0</v>
      </c>
      <c r="AB5" s="205">
        <f t="shared" si="0"/>
        <v>0</v>
      </c>
      <c r="AC5" s="205">
        <f t="shared" si="0"/>
        <v>0</v>
      </c>
      <c r="AD5" s="205">
        <f t="shared" si="0"/>
        <v>0</v>
      </c>
      <c r="AE5" s="205">
        <f t="shared" si="0"/>
        <v>0</v>
      </c>
      <c r="AF5" s="205">
        <f>B72</f>
        <v>4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1728MW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Load=1557</v>
      </c>
      <c r="B7" s="210">
        <f>B79</f>
        <v>1714.24</v>
      </c>
      <c r="C7" s="210">
        <f t="shared" ref="C7:AF7" si="1">C79</f>
        <v>1702.1399999999999</v>
      </c>
      <c r="D7" s="210">
        <f t="shared" si="1"/>
        <v>1660.94</v>
      </c>
      <c r="E7" s="210">
        <f t="shared" si="1"/>
        <v>1633.94</v>
      </c>
      <c r="F7" s="210">
        <f t="shared" si="1"/>
        <v>1623.34</v>
      </c>
      <c r="G7" s="210">
        <f t="shared" si="1"/>
        <v>1600.1399999999999</v>
      </c>
      <c r="H7" s="210">
        <f t="shared" si="1"/>
        <v>1603.54</v>
      </c>
      <c r="I7" s="210">
        <f t="shared" si="1"/>
        <v>1556.6399999999999</v>
      </c>
      <c r="J7" s="210">
        <f t="shared" si="1"/>
        <v>1599.04</v>
      </c>
      <c r="K7" s="210">
        <f t="shared" si="1"/>
        <v>1660.74</v>
      </c>
      <c r="L7" s="210">
        <f t="shared" si="1"/>
        <v>1692.34</v>
      </c>
      <c r="M7" s="210">
        <f t="shared" si="1"/>
        <v>1727.94</v>
      </c>
      <c r="N7" s="210">
        <f t="shared" si="1"/>
        <v>1718.3400000000001</v>
      </c>
      <c r="O7" s="210">
        <f t="shared" si="1"/>
        <v>1748.6399999999999</v>
      </c>
      <c r="P7" s="210">
        <f t="shared" si="1"/>
        <v>1712.04</v>
      </c>
      <c r="Q7" s="210">
        <f t="shared" si="1"/>
        <v>1706.84</v>
      </c>
      <c r="R7" s="210">
        <f t="shared" si="1"/>
        <v>1688.74</v>
      </c>
      <c r="S7" s="210">
        <f t="shared" si="1"/>
        <v>1633.6399999999999</v>
      </c>
      <c r="T7" s="210">
        <f t="shared" si="1"/>
        <v>1653.54</v>
      </c>
      <c r="U7" s="210">
        <f t="shared" si="1"/>
        <v>1653.54</v>
      </c>
      <c r="V7" s="210">
        <f t="shared" si="1"/>
        <v>1645.54</v>
      </c>
      <c r="W7" s="210">
        <f t="shared" si="1"/>
        <v>1651.54</v>
      </c>
      <c r="X7" s="210">
        <f t="shared" si="1"/>
        <v>1698.4399999999998</v>
      </c>
      <c r="Y7" s="210">
        <f t="shared" si="1"/>
        <v>1773.84</v>
      </c>
      <c r="Z7" s="210">
        <f t="shared" si="1"/>
        <v>1779.44</v>
      </c>
      <c r="AA7" s="210">
        <f t="shared" si="1"/>
        <v>1760.34</v>
      </c>
      <c r="AB7" s="210">
        <f t="shared" si="1"/>
        <v>1765.34</v>
      </c>
      <c r="AC7" s="210">
        <f t="shared" si="1"/>
        <v>1726.6399999999999</v>
      </c>
      <c r="AD7" s="210">
        <f t="shared" si="1"/>
        <v>1726.6399999999999</v>
      </c>
      <c r="AE7" s="210">
        <f t="shared" si="1"/>
        <v>1676.2399999999998</v>
      </c>
      <c r="AF7" s="210">
        <f t="shared" si="1"/>
        <v>1656.9399999999998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52.8</v>
      </c>
      <c r="C11" s="222">
        <v>52.8</v>
      </c>
      <c r="D11" s="222">
        <v>52.8</v>
      </c>
      <c r="E11" s="222">
        <v>52.8</v>
      </c>
      <c r="F11" s="222">
        <v>52.8</v>
      </c>
      <c r="G11" s="222">
        <v>52.8</v>
      </c>
      <c r="H11" s="222">
        <v>52.8</v>
      </c>
      <c r="I11" s="222">
        <v>52.8</v>
      </c>
      <c r="J11" s="222">
        <v>52.8</v>
      </c>
      <c r="K11" s="222">
        <v>52.8</v>
      </c>
      <c r="L11" s="222">
        <v>52.8</v>
      </c>
      <c r="M11" s="222">
        <v>52.8</v>
      </c>
      <c r="N11" s="222">
        <v>52.8</v>
      </c>
      <c r="O11" s="222">
        <v>52.7</v>
      </c>
      <c r="P11" s="222">
        <v>52.7</v>
      </c>
      <c r="Q11" s="222">
        <v>52.7</v>
      </c>
      <c r="R11" s="222">
        <v>52.7</v>
      </c>
      <c r="S11" s="222">
        <v>52.7</v>
      </c>
      <c r="T11" s="222">
        <v>52.7</v>
      </c>
      <c r="U11" s="222">
        <v>52.7</v>
      </c>
      <c r="V11" s="222">
        <v>52.7</v>
      </c>
      <c r="W11" s="222">
        <v>52.7</v>
      </c>
      <c r="X11" s="222">
        <v>53</v>
      </c>
      <c r="Y11" s="222">
        <v>52.9</v>
      </c>
      <c r="Z11" s="222">
        <v>52.9</v>
      </c>
      <c r="AA11" s="222">
        <v>52.8</v>
      </c>
      <c r="AB11" s="222">
        <v>52.8</v>
      </c>
      <c r="AC11" s="222">
        <v>52.8</v>
      </c>
      <c r="AD11" s="222">
        <v>52.8</v>
      </c>
      <c r="AE11" s="222">
        <v>52.8</v>
      </c>
      <c r="AF11" s="222">
        <v>52.8</v>
      </c>
      <c r="AG11" s="225">
        <v>52.4</v>
      </c>
      <c r="AH11" s="226">
        <f>MAX(B11:AF11)</f>
        <v>53</v>
      </c>
      <c r="AI11" s="227">
        <f>MIN(B11:AF11)</f>
        <v>52.7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50.2</v>
      </c>
      <c r="C12" s="221">
        <v>50.3</v>
      </c>
      <c r="D12" s="221">
        <v>50.3</v>
      </c>
      <c r="E12" s="221">
        <v>50.3</v>
      </c>
      <c r="F12" s="221">
        <v>50.3</v>
      </c>
      <c r="G12" s="221">
        <v>50.3</v>
      </c>
      <c r="H12" s="221">
        <v>50.3</v>
      </c>
      <c r="I12" s="221">
        <v>50.3</v>
      </c>
      <c r="J12" s="221">
        <v>50.3</v>
      </c>
      <c r="K12" s="221">
        <v>50.3</v>
      </c>
      <c r="L12" s="221">
        <v>50.3</v>
      </c>
      <c r="M12" s="221">
        <v>50.3</v>
      </c>
      <c r="N12" s="221">
        <v>50.3</v>
      </c>
      <c r="O12" s="221">
        <v>50.8</v>
      </c>
      <c r="P12" s="221">
        <v>50.8</v>
      </c>
      <c r="Q12" s="221">
        <v>50.8</v>
      </c>
      <c r="R12" s="221">
        <v>50.8</v>
      </c>
      <c r="S12" s="221">
        <v>50.8</v>
      </c>
      <c r="T12" s="221">
        <v>50.8</v>
      </c>
      <c r="U12" s="221">
        <v>50.8</v>
      </c>
      <c r="V12" s="221">
        <v>50.8</v>
      </c>
      <c r="W12" s="221">
        <v>50.8</v>
      </c>
      <c r="X12" s="221">
        <v>50</v>
      </c>
      <c r="Y12" s="221">
        <v>50.4</v>
      </c>
      <c r="Z12" s="221">
        <v>50.5</v>
      </c>
      <c r="AA12" s="221">
        <v>50.2</v>
      </c>
      <c r="AB12" s="221">
        <v>50.2</v>
      </c>
      <c r="AC12" s="221">
        <v>50.2</v>
      </c>
      <c r="AD12" s="221">
        <v>50.2</v>
      </c>
      <c r="AE12" s="221">
        <v>50.2</v>
      </c>
      <c r="AF12" s="221">
        <v>50.2</v>
      </c>
      <c r="AG12" s="229">
        <v>50</v>
      </c>
      <c r="AH12" s="226">
        <f t="shared" ref="AH12:AH79" si="2">MAX(B12:AF12)</f>
        <v>50.8</v>
      </c>
      <c r="AI12" s="227">
        <f t="shared" ref="AI12:AI79" si="3">MIN(B12:AF12)</f>
        <v>50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>
        <v>46</v>
      </c>
      <c r="F13" s="221">
        <v>46</v>
      </c>
      <c r="G13" s="221">
        <v>46</v>
      </c>
      <c r="H13" s="221">
        <v>46</v>
      </c>
      <c r="I13" s="221">
        <v>46</v>
      </c>
      <c r="J13" s="221">
        <v>46</v>
      </c>
      <c r="K13" s="221">
        <v>46</v>
      </c>
      <c r="L13" s="221">
        <v>46</v>
      </c>
      <c r="M13" s="221">
        <v>45.9</v>
      </c>
      <c r="N13" s="221">
        <v>45.9</v>
      </c>
      <c r="O13" s="221">
        <v>45.9</v>
      </c>
      <c r="P13" s="221">
        <v>45.9</v>
      </c>
      <c r="Q13" s="221">
        <v>45.9</v>
      </c>
      <c r="R13" s="221">
        <v>45.9</v>
      </c>
      <c r="S13" s="221">
        <v>45.9</v>
      </c>
      <c r="T13" s="221">
        <v>45.9</v>
      </c>
      <c r="U13" s="221">
        <v>45.9</v>
      </c>
      <c r="V13" s="221">
        <v>45.9</v>
      </c>
      <c r="W13" s="221">
        <v>45.9</v>
      </c>
      <c r="X13" s="221">
        <v>46</v>
      </c>
      <c r="Y13" s="221">
        <v>46</v>
      </c>
      <c r="Z13" s="221">
        <v>45.7</v>
      </c>
      <c r="AA13" s="221">
        <v>45.7</v>
      </c>
      <c r="AB13" s="221">
        <v>45.7</v>
      </c>
      <c r="AC13" s="221">
        <v>45.7</v>
      </c>
      <c r="AD13" s="221">
        <v>45.7</v>
      </c>
      <c r="AE13" s="221">
        <v>45.7</v>
      </c>
      <c r="AF13" s="221">
        <v>45.7</v>
      </c>
      <c r="AG13" s="229">
        <v>45</v>
      </c>
      <c r="AH13" s="226">
        <f t="shared" si="2"/>
        <v>46</v>
      </c>
      <c r="AI13" s="227">
        <f t="shared" si="3"/>
        <v>45.7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27</v>
      </c>
      <c r="C14" s="221">
        <v>41</v>
      </c>
      <c r="D14" s="221">
        <v>26</v>
      </c>
      <c r="E14" s="221">
        <v>41</v>
      </c>
      <c r="F14" s="221">
        <v>41</v>
      </c>
      <c r="G14" s="221">
        <v>41</v>
      </c>
      <c r="H14" s="221">
        <v>41</v>
      </c>
      <c r="I14" s="221">
        <v>28</v>
      </c>
      <c r="J14" s="221">
        <v>28</v>
      </c>
      <c r="K14" s="221">
        <v>28</v>
      </c>
      <c r="L14" s="221">
        <v>40</v>
      </c>
      <c r="M14" s="221">
        <v>40</v>
      </c>
      <c r="N14" s="221">
        <v>40</v>
      </c>
      <c r="O14" s="221">
        <v>30</v>
      </c>
      <c r="P14" s="221">
        <v>30</v>
      </c>
      <c r="Q14" s="221">
        <v>0</v>
      </c>
      <c r="R14" s="221">
        <v>0</v>
      </c>
      <c r="S14" s="221">
        <v>0</v>
      </c>
      <c r="T14" s="221">
        <v>0</v>
      </c>
      <c r="U14" s="221">
        <v>0</v>
      </c>
      <c r="V14" s="221">
        <v>0</v>
      </c>
      <c r="W14" s="221">
        <v>0</v>
      </c>
      <c r="X14" s="221">
        <v>32</v>
      </c>
      <c r="Y14" s="221">
        <v>32</v>
      </c>
      <c r="Z14" s="221">
        <v>29</v>
      </c>
      <c r="AA14" s="221">
        <v>29</v>
      </c>
      <c r="AB14" s="221">
        <v>29</v>
      </c>
      <c r="AC14" s="221">
        <v>27</v>
      </c>
      <c r="AD14" s="221">
        <v>27</v>
      </c>
      <c r="AE14" s="221">
        <v>27</v>
      </c>
      <c r="AF14" s="221">
        <v>27</v>
      </c>
      <c r="AG14" s="229">
        <v>42</v>
      </c>
      <c r="AH14" s="226">
        <f t="shared" si="2"/>
        <v>41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15</v>
      </c>
      <c r="L15" s="221">
        <v>30</v>
      </c>
      <c r="M15" s="221">
        <v>30</v>
      </c>
      <c r="N15" s="221">
        <v>30</v>
      </c>
      <c r="O15" s="221">
        <v>15.3</v>
      </c>
      <c r="P15" s="221">
        <v>5.8</v>
      </c>
      <c r="Q15" s="221">
        <v>0</v>
      </c>
      <c r="R15" s="221">
        <v>0</v>
      </c>
      <c r="S15" s="221">
        <v>30</v>
      </c>
      <c r="T15" s="221">
        <v>30</v>
      </c>
      <c r="U15" s="221">
        <v>30</v>
      </c>
      <c r="V15" s="221">
        <v>30</v>
      </c>
      <c r="W15" s="221">
        <v>30</v>
      </c>
      <c r="X15" s="221">
        <v>25.4</v>
      </c>
      <c r="Y15" s="221">
        <v>24.9</v>
      </c>
      <c r="Z15" s="221">
        <v>20</v>
      </c>
      <c r="AA15" s="221">
        <v>20</v>
      </c>
      <c r="AB15" s="221">
        <v>20</v>
      </c>
      <c r="AC15" s="221">
        <v>0</v>
      </c>
      <c r="AD15" s="221">
        <v>0</v>
      </c>
      <c r="AE15" s="221">
        <v>0</v>
      </c>
      <c r="AF15" s="221">
        <v>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</v>
      </c>
      <c r="C16" s="221">
        <v>24.4</v>
      </c>
      <c r="D16" s="221">
        <v>24.4</v>
      </c>
      <c r="E16" s="221">
        <v>24.4</v>
      </c>
      <c r="F16" s="221">
        <v>24.4</v>
      </c>
      <c r="G16" s="221">
        <v>24.4</v>
      </c>
      <c r="H16" s="221">
        <v>24.4</v>
      </c>
      <c r="I16" s="221">
        <v>24.4</v>
      </c>
      <c r="J16" s="221">
        <v>24.4</v>
      </c>
      <c r="K16" s="221">
        <v>24.4</v>
      </c>
      <c r="L16" s="221">
        <v>24.4</v>
      </c>
      <c r="M16" s="221">
        <v>26.3</v>
      </c>
      <c r="N16" s="221">
        <v>26.3</v>
      </c>
      <c r="O16" s="221">
        <v>26.4</v>
      </c>
      <c r="P16" s="221">
        <v>26.4</v>
      </c>
      <c r="Q16" s="221">
        <v>25.3</v>
      </c>
      <c r="R16" s="221">
        <v>25.3</v>
      </c>
      <c r="S16" s="221">
        <v>25.3</v>
      </c>
      <c r="T16" s="221">
        <v>25.3</v>
      </c>
      <c r="U16" s="221">
        <v>25.3</v>
      </c>
      <c r="V16" s="221">
        <v>25.3</v>
      </c>
      <c r="W16" s="221">
        <v>25.3</v>
      </c>
      <c r="X16" s="221">
        <v>26.3</v>
      </c>
      <c r="Y16" s="221">
        <v>26.2</v>
      </c>
      <c r="Z16" s="221">
        <v>26.2</v>
      </c>
      <c r="AA16" s="221">
        <v>26.1</v>
      </c>
      <c r="AB16" s="221">
        <v>26.1</v>
      </c>
      <c r="AC16" s="221">
        <v>26.1</v>
      </c>
      <c r="AD16" s="221">
        <v>26.1</v>
      </c>
      <c r="AE16" s="221">
        <v>26.1</v>
      </c>
      <c r="AF16" s="221">
        <v>26.1</v>
      </c>
      <c r="AG16" s="229">
        <v>25</v>
      </c>
      <c r="AH16" s="226">
        <f t="shared" si="2"/>
        <v>26.4</v>
      </c>
      <c r="AI16" s="227">
        <f t="shared" si="3"/>
        <v>24.4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21</v>
      </c>
      <c r="C17" s="221">
        <v>21</v>
      </c>
      <c r="D17" s="221">
        <v>21</v>
      </c>
      <c r="E17" s="221">
        <v>21</v>
      </c>
      <c r="F17" s="221">
        <v>21</v>
      </c>
      <c r="G17" s="221">
        <v>21</v>
      </c>
      <c r="H17" s="221">
        <v>21</v>
      </c>
      <c r="I17" s="221">
        <v>21</v>
      </c>
      <c r="J17" s="221">
        <v>21</v>
      </c>
      <c r="K17" s="221">
        <v>21</v>
      </c>
      <c r="L17" s="221">
        <v>21</v>
      </c>
      <c r="M17" s="221">
        <v>21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>
        <v>25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21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22.5</v>
      </c>
      <c r="H18" s="221">
        <v>22.5</v>
      </c>
      <c r="I18" s="221">
        <v>22.5</v>
      </c>
      <c r="J18" s="221">
        <v>22.5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>
        <v>25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22.5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24</v>
      </c>
      <c r="C19" s="221">
        <v>24</v>
      </c>
      <c r="D19" s="221">
        <v>24</v>
      </c>
      <c r="E19" s="221">
        <v>24</v>
      </c>
      <c r="F19" s="221">
        <v>24</v>
      </c>
      <c r="G19" s="221">
        <v>24</v>
      </c>
      <c r="H19" s="221">
        <v>24</v>
      </c>
      <c r="I19" s="221">
        <v>24</v>
      </c>
      <c r="J19" s="221">
        <v>24</v>
      </c>
      <c r="K19" s="221">
        <v>24</v>
      </c>
      <c r="L19" s="221">
        <v>24</v>
      </c>
      <c r="M19" s="221">
        <v>25.9</v>
      </c>
      <c r="N19" s="221">
        <v>25.9</v>
      </c>
      <c r="O19" s="221">
        <v>25.9</v>
      </c>
      <c r="P19" s="221">
        <v>25.9</v>
      </c>
      <c r="Q19" s="221">
        <v>26</v>
      </c>
      <c r="R19" s="221">
        <v>26</v>
      </c>
      <c r="S19" s="221">
        <v>26</v>
      </c>
      <c r="T19" s="221">
        <v>26</v>
      </c>
      <c r="U19" s="221">
        <v>26</v>
      </c>
      <c r="V19" s="221">
        <v>26</v>
      </c>
      <c r="W19" s="221">
        <v>26</v>
      </c>
      <c r="X19" s="221">
        <v>33.299999999999997</v>
      </c>
      <c r="Y19" s="221">
        <v>33.299999999999997</v>
      </c>
      <c r="Z19" s="221">
        <v>33.299999999999997</v>
      </c>
      <c r="AA19" s="221">
        <v>33.200000000000003</v>
      </c>
      <c r="AB19" s="221">
        <v>33.200000000000003</v>
      </c>
      <c r="AC19" s="221">
        <v>24.5</v>
      </c>
      <c r="AD19" s="221">
        <v>24.5</v>
      </c>
      <c r="AE19" s="221">
        <v>24.5</v>
      </c>
      <c r="AF19" s="221">
        <v>24.5</v>
      </c>
      <c r="AG19" s="229">
        <v>24.2</v>
      </c>
      <c r="AH19" s="226">
        <f t="shared" si="2"/>
        <v>33.299999999999997</v>
      </c>
      <c r="AI19" s="227">
        <f t="shared" si="3"/>
        <v>24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23.3</v>
      </c>
      <c r="D20" s="221">
        <v>23.3</v>
      </c>
      <c r="E20" s="221">
        <v>23.3</v>
      </c>
      <c r="F20" s="221">
        <v>23.3</v>
      </c>
      <c r="G20" s="221">
        <v>23.3</v>
      </c>
      <c r="H20" s="221">
        <v>23.3</v>
      </c>
      <c r="I20" s="221">
        <v>23.3</v>
      </c>
      <c r="J20" s="221">
        <v>23.3</v>
      </c>
      <c r="K20" s="221">
        <v>23.3</v>
      </c>
      <c r="L20" s="221">
        <v>23.3</v>
      </c>
      <c r="M20" s="221">
        <v>23.3</v>
      </c>
      <c r="N20" s="221">
        <v>23.3</v>
      </c>
      <c r="O20" s="221">
        <v>23.3</v>
      </c>
      <c r="P20" s="221">
        <v>23.3</v>
      </c>
      <c r="Q20" s="221">
        <v>23.3</v>
      </c>
      <c r="R20" s="221">
        <v>23.3</v>
      </c>
      <c r="S20" s="221">
        <v>23.3</v>
      </c>
      <c r="T20" s="221">
        <v>23.3</v>
      </c>
      <c r="U20" s="221">
        <v>23.3</v>
      </c>
      <c r="V20" s="221">
        <v>23.3</v>
      </c>
      <c r="W20" s="221">
        <v>23.3</v>
      </c>
      <c r="X20" s="221">
        <v>22.9</v>
      </c>
      <c r="Y20" s="221">
        <v>22.9</v>
      </c>
      <c r="Z20" s="221">
        <v>23.4</v>
      </c>
      <c r="AA20" s="221">
        <v>23.4</v>
      </c>
      <c r="AB20" s="221">
        <v>23.4</v>
      </c>
      <c r="AC20" s="221">
        <v>23.4</v>
      </c>
      <c r="AD20" s="221">
        <v>23.4</v>
      </c>
      <c r="AE20" s="221">
        <v>23.4</v>
      </c>
      <c r="AF20" s="221">
        <v>23.4</v>
      </c>
      <c r="AG20" s="229">
        <v>23.5</v>
      </c>
      <c r="AH20" s="226">
        <f t="shared" si="2"/>
        <v>23.4</v>
      </c>
      <c r="AI20" s="227">
        <f t="shared" si="3"/>
        <v>22.9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>
        <v>19</v>
      </c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20</v>
      </c>
      <c r="C22" s="221">
        <v>20</v>
      </c>
      <c r="D22" s="221">
        <v>20</v>
      </c>
      <c r="E22" s="221">
        <v>20</v>
      </c>
      <c r="F22" s="221">
        <v>20</v>
      </c>
      <c r="G22" s="221">
        <v>20</v>
      </c>
      <c r="H22" s="221">
        <v>20</v>
      </c>
      <c r="I22" s="221">
        <v>20</v>
      </c>
      <c r="J22" s="221">
        <v>20</v>
      </c>
      <c r="K22" s="221">
        <v>20</v>
      </c>
      <c r="L22" s="221">
        <v>20</v>
      </c>
      <c r="M22" s="221">
        <v>20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>
        <v>22</v>
      </c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20</v>
      </c>
      <c r="C23" s="221">
        <v>20</v>
      </c>
      <c r="D23" s="221">
        <v>20</v>
      </c>
      <c r="E23" s="221">
        <v>20</v>
      </c>
      <c r="F23" s="221">
        <v>20</v>
      </c>
      <c r="G23" s="221">
        <v>20</v>
      </c>
      <c r="H23" s="221">
        <v>20</v>
      </c>
      <c r="I23" s="221">
        <v>20</v>
      </c>
      <c r="J23" s="221">
        <v>20</v>
      </c>
      <c r="K23" s="221">
        <v>20</v>
      </c>
      <c r="L23" s="221">
        <v>20</v>
      </c>
      <c r="M23" s="221">
        <v>20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>
        <v>22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18</v>
      </c>
      <c r="C24" s="221">
        <v>16</v>
      </c>
      <c r="D24" s="221">
        <v>0</v>
      </c>
      <c r="E24" s="221">
        <v>0</v>
      </c>
      <c r="F24" s="221">
        <v>0</v>
      </c>
      <c r="G24" s="221">
        <v>0</v>
      </c>
      <c r="H24" s="221">
        <v>0</v>
      </c>
      <c r="I24" s="221">
        <v>0</v>
      </c>
      <c r="J24" s="221">
        <v>0</v>
      </c>
      <c r="K24" s="221">
        <v>0</v>
      </c>
      <c r="L24" s="221">
        <v>0</v>
      </c>
      <c r="M24" s="221">
        <v>17</v>
      </c>
      <c r="N24" s="221">
        <v>17</v>
      </c>
      <c r="O24" s="221">
        <v>16.2</v>
      </c>
      <c r="P24" s="221">
        <v>16.2</v>
      </c>
      <c r="Q24" s="221">
        <v>16.2</v>
      </c>
      <c r="R24" s="221">
        <v>16.2</v>
      </c>
      <c r="S24" s="221">
        <v>16.2</v>
      </c>
      <c r="T24" s="221">
        <v>16.2</v>
      </c>
      <c r="U24" s="221">
        <v>16.2</v>
      </c>
      <c r="V24" s="221">
        <v>16.2</v>
      </c>
      <c r="W24" s="221">
        <v>16.2</v>
      </c>
      <c r="X24" s="221">
        <v>16.2</v>
      </c>
      <c r="Y24" s="221">
        <v>18</v>
      </c>
      <c r="Z24" s="221">
        <v>10</v>
      </c>
      <c r="AA24" s="221">
        <v>10</v>
      </c>
      <c r="AB24" s="221">
        <v>10</v>
      </c>
      <c r="AC24" s="221">
        <v>10</v>
      </c>
      <c r="AD24" s="221">
        <v>10</v>
      </c>
      <c r="AE24" s="221">
        <v>10</v>
      </c>
      <c r="AF24" s="221">
        <v>10</v>
      </c>
      <c r="AG24" s="229">
        <v>22</v>
      </c>
      <c r="AH24" s="226">
        <f t="shared" si="2"/>
        <v>18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5</v>
      </c>
      <c r="J25" s="221">
        <v>5</v>
      </c>
      <c r="K25" s="221">
        <v>10</v>
      </c>
      <c r="L25" s="221">
        <v>10</v>
      </c>
      <c r="M25" s="221">
        <v>10</v>
      </c>
      <c r="N25" s="221">
        <v>10</v>
      </c>
      <c r="O25" s="221">
        <v>5</v>
      </c>
      <c r="P25" s="221">
        <v>5</v>
      </c>
      <c r="Q25" s="221">
        <v>0</v>
      </c>
      <c r="R25" s="221">
        <v>0</v>
      </c>
      <c r="S25" s="221">
        <v>0</v>
      </c>
      <c r="T25" s="221">
        <v>0</v>
      </c>
      <c r="U25" s="221">
        <v>0</v>
      </c>
      <c r="V25" s="221">
        <v>0</v>
      </c>
      <c r="W25" s="221">
        <v>0</v>
      </c>
      <c r="X25" s="221">
        <v>10</v>
      </c>
      <c r="Y25" s="221">
        <v>10</v>
      </c>
      <c r="Z25" s="221">
        <v>10</v>
      </c>
      <c r="AA25" s="221">
        <v>15</v>
      </c>
      <c r="AB25" s="221">
        <v>20</v>
      </c>
      <c r="AC25" s="221">
        <v>0</v>
      </c>
      <c r="AD25" s="221">
        <v>0</v>
      </c>
      <c r="AE25" s="221">
        <v>0</v>
      </c>
      <c r="AF25" s="221">
        <v>0</v>
      </c>
      <c r="AG25" s="229">
        <v>20</v>
      </c>
      <c r="AH25" s="226">
        <f t="shared" si="2"/>
        <v>20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</v>
      </c>
      <c r="C26" s="221">
        <v>14</v>
      </c>
      <c r="D26" s="221">
        <v>14</v>
      </c>
      <c r="E26" s="221">
        <v>14</v>
      </c>
      <c r="F26" s="221">
        <v>14</v>
      </c>
      <c r="G26" s="221">
        <v>14</v>
      </c>
      <c r="H26" s="221">
        <v>14</v>
      </c>
      <c r="I26" s="221">
        <v>14</v>
      </c>
      <c r="J26" s="221">
        <v>14</v>
      </c>
      <c r="K26" s="221">
        <v>14</v>
      </c>
      <c r="L26" s="221">
        <v>14</v>
      </c>
      <c r="M26" s="221">
        <v>14</v>
      </c>
      <c r="N26" s="221">
        <v>14</v>
      </c>
      <c r="O26" s="221">
        <v>14</v>
      </c>
      <c r="P26" s="221">
        <v>14</v>
      </c>
      <c r="Q26" s="221">
        <v>14</v>
      </c>
      <c r="R26" s="221">
        <v>14</v>
      </c>
      <c r="S26" s="221">
        <v>14</v>
      </c>
      <c r="T26" s="221">
        <v>14</v>
      </c>
      <c r="U26" s="221">
        <v>14</v>
      </c>
      <c r="V26" s="221">
        <v>14</v>
      </c>
      <c r="W26" s="221">
        <v>14</v>
      </c>
      <c r="X26" s="221">
        <v>14</v>
      </c>
      <c r="Y26" s="221">
        <v>14</v>
      </c>
      <c r="Z26" s="221">
        <v>14</v>
      </c>
      <c r="AA26" s="221">
        <v>14</v>
      </c>
      <c r="AB26" s="221">
        <v>14</v>
      </c>
      <c r="AC26" s="221">
        <v>14</v>
      </c>
      <c r="AD26" s="221">
        <v>14</v>
      </c>
      <c r="AE26" s="221">
        <v>14</v>
      </c>
      <c r="AF26" s="221">
        <v>14</v>
      </c>
      <c r="AG26" s="229">
        <v>14.9</v>
      </c>
      <c r="AH26" s="226">
        <f t="shared" si="2"/>
        <v>14</v>
      </c>
      <c r="AI26" s="227">
        <f t="shared" si="3"/>
        <v>14</v>
      </c>
      <c r="AK26" s="228"/>
      <c r="AL26" s="221">
        <f>2636/24</f>
        <v>109.83333333333333</v>
      </c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6</v>
      </c>
      <c r="C27" s="221">
        <v>6</v>
      </c>
      <c r="D27" s="221">
        <v>6</v>
      </c>
      <c r="E27" s="221">
        <v>6</v>
      </c>
      <c r="F27" s="221">
        <v>6</v>
      </c>
      <c r="G27" s="221">
        <v>6</v>
      </c>
      <c r="H27" s="221">
        <v>6</v>
      </c>
      <c r="I27" s="221">
        <v>6</v>
      </c>
      <c r="J27" s="221">
        <v>6</v>
      </c>
      <c r="K27" s="221">
        <v>6</v>
      </c>
      <c r="L27" s="221">
        <v>6</v>
      </c>
      <c r="M27" s="221">
        <v>6</v>
      </c>
      <c r="N27" s="221">
        <v>6</v>
      </c>
      <c r="O27" s="221">
        <v>6</v>
      </c>
      <c r="P27" s="221">
        <v>6</v>
      </c>
      <c r="Q27" s="221">
        <v>6</v>
      </c>
      <c r="R27" s="221">
        <v>6</v>
      </c>
      <c r="S27" s="221">
        <v>6</v>
      </c>
      <c r="T27" s="221">
        <v>6</v>
      </c>
      <c r="U27" s="221">
        <v>6</v>
      </c>
      <c r="V27" s="221">
        <v>6</v>
      </c>
      <c r="W27" s="221">
        <v>6</v>
      </c>
      <c r="X27" s="221">
        <v>6</v>
      </c>
      <c r="Y27" s="221">
        <v>6</v>
      </c>
      <c r="Z27" s="221">
        <v>6</v>
      </c>
      <c r="AA27" s="221">
        <v>6</v>
      </c>
      <c r="AB27" s="221">
        <v>6</v>
      </c>
      <c r="AC27" s="221">
        <v>6</v>
      </c>
      <c r="AD27" s="221">
        <v>6</v>
      </c>
      <c r="AE27" s="221">
        <v>6</v>
      </c>
      <c r="AF27" s="221">
        <v>6</v>
      </c>
      <c r="AG27" s="229">
        <v>13.6</v>
      </c>
      <c r="AH27" s="226">
        <f t="shared" si="2"/>
        <v>6</v>
      </c>
      <c r="AI27" s="227">
        <f t="shared" si="3"/>
        <v>6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>
        <v>13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13</v>
      </c>
      <c r="AG28" s="229">
        <v>13</v>
      </c>
      <c r="AH28" s="226">
        <f t="shared" si="2"/>
        <v>13</v>
      </c>
      <c r="AI28" s="227">
        <f t="shared" si="3"/>
        <v>13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8</v>
      </c>
      <c r="C29" s="221">
        <v>8</v>
      </c>
      <c r="D29" s="221">
        <v>8</v>
      </c>
      <c r="E29" s="221">
        <v>8</v>
      </c>
      <c r="F29" s="221">
        <v>8</v>
      </c>
      <c r="G29" s="221">
        <v>8</v>
      </c>
      <c r="H29" s="221">
        <v>8</v>
      </c>
      <c r="I29" s="221">
        <v>8</v>
      </c>
      <c r="J29" s="221">
        <v>0</v>
      </c>
      <c r="K29" s="221">
        <v>0</v>
      </c>
      <c r="L29" s="221">
        <v>0</v>
      </c>
      <c r="M29" s="221">
        <v>0</v>
      </c>
      <c r="N29" s="221">
        <v>0</v>
      </c>
      <c r="O29" s="221">
        <v>0</v>
      </c>
      <c r="P29" s="221">
        <v>0</v>
      </c>
      <c r="Q29" s="221">
        <v>0</v>
      </c>
      <c r="R29" s="221">
        <v>0</v>
      </c>
      <c r="S29" s="221">
        <v>0</v>
      </c>
      <c r="T29" s="221">
        <v>0</v>
      </c>
      <c r="U29" s="221">
        <v>0</v>
      </c>
      <c r="V29" s="221">
        <v>0</v>
      </c>
      <c r="W29" s="221">
        <v>0</v>
      </c>
      <c r="X29" s="221">
        <v>0</v>
      </c>
      <c r="Y29" s="221">
        <v>0</v>
      </c>
      <c r="Z29" s="221">
        <v>0</v>
      </c>
      <c r="AA29" s="221">
        <v>0</v>
      </c>
      <c r="AB29" s="221">
        <v>0</v>
      </c>
      <c r="AC29" s="221">
        <v>12</v>
      </c>
      <c r="AD29" s="221">
        <v>12</v>
      </c>
      <c r="AE29" s="221">
        <v>12</v>
      </c>
      <c r="AF29" s="221">
        <v>12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>
        <v>2</v>
      </c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2</v>
      </c>
      <c r="AG30" s="229">
        <v>12</v>
      </c>
      <c r="AH30" s="226">
        <f t="shared" si="2"/>
        <v>2</v>
      </c>
      <c r="AI30" s="227">
        <f t="shared" si="3"/>
        <v>2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9</v>
      </c>
      <c r="C31" s="221">
        <v>9</v>
      </c>
      <c r="D31" s="221">
        <v>9</v>
      </c>
      <c r="E31" s="221">
        <v>9</v>
      </c>
      <c r="F31" s="221">
        <v>9</v>
      </c>
      <c r="G31" s="221">
        <v>9</v>
      </c>
      <c r="H31" s="221">
        <v>9</v>
      </c>
      <c r="I31" s="221">
        <v>9</v>
      </c>
      <c r="J31" s="221">
        <v>9</v>
      </c>
      <c r="K31" s="221">
        <v>9</v>
      </c>
      <c r="L31" s="221">
        <v>9</v>
      </c>
      <c r="M31" s="221">
        <v>9</v>
      </c>
      <c r="N31" s="221">
        <v>9</v>
      </c>
      <c r="O31" s="221">
        <v>9</v>
      </c>
      <c r="P31" s="221">
        <v>9</v>
      </c>
      <c r="Q31" s="221">
        <v>9</v>
      </c>
      <c r="R31" s="221">
        <v>9</v>
      </c>
      <c r="S31" s="221">
        <v>9</v>
      </c>
      <c r="T31" s="221">
        <v>9</v>
      </c>
      <c r="U31" s="221">
        <v>9</v>
      </c>
      <c r="V31" s="221">
        <v>9</v>
      </c>
      <c r="W31" s="221">
        <v>9</v>
      </c>
      <c r="X31" s="221">
        <v>9</v>
      </c>
      <c r="Y31" s="221">
        <v>9</v>
      </c>
      <c r="Z31" s="221">
        <v>9</v>
      </c>
      <c r="AA31" s="221">
        <v>9</v>
      </c>
      <c r="AB31" s="221">
        <v>9</v>
      </c>
      <c r="AC31" s="221">
        <v>9</v>
      </c>
      <c r="AD31" s="221">
        <v>9</v>
      </c>
      <c r="AE31" s="221">
        <v>9</v>
      </c>
      <c r="AF31" s="221">
        <v>9</v>
      </c>
      <c r="AG31" s="231">
        <v>22</v>
      </c>
      <c r="AH31" s="226">
        <f>MAX(B31:AF31)</f>
        <v>9</v>
      </c>
      <c r="AI31" s="227">
        <f>MIN(B31:AF31)</f>
        <v>9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>
        <v>11</v>
      </c>
      <c r="F32" s="221">
        <v>11</v>
      </c>
      <c r="G32" s="221">
        <v>11</v>
      </c>
      <c r="H32" s="221">
        <v>11</v>
      </c>
      <c r="I32" s="221">
        <v>11</v>
      </c>
      <c r="J32" s="221">
        <v>11</v>
      </c>
      <c r="K32" s="221">
        <v>11</v>
      </c>
      <c r="L32" s="221">
        <v>11</v>
      </c>
      <c r="M32" s="221">
        <v>11</v>
      </c>
      <c r="N32" s="221">
        <v>11</v>
      </c>
      <c r="O32" s="221">
        <v>11</v>
      </c>
      <c r="P32" s="221">
        <v>11</v>
      </c>
      <c r="Q32" s="221">
        <v>11</v>
      </c>
      <c r="R32" s="221">
        <v>11</v>
      </c>
      <c r="S32" s="221">
        <v>11</v>
      </c>
      <c r="T32" s="221">
        <v>11</v>
      </c>
      <c r="U32" s="221">
        <v>11</v>
      </c>
      <c r="V32" s="221">
        <v>11</v>
      </c>
      <c r="W32" s="221">
        <v>11</v>
      </c>
      <c r="X32" s="221">
        <v>11</v>
      </c>
      <c r="Y32" s="221">
        <v>11</v>
      </c>
      <c r="Z32" s="221">
        <v>11</v>
      </c>
      <c r="AA32" s="221">
        <v>11</v>
      </c>
      <c r="AB32" s="221">
        <v>11</v>
      </c>
      <c r="AC32" s="221">
        <v>11</v>
      </c>
      <c r="AD32" s="221">
        <v>11</v>
      </c>
      <c r="AE32" s="221">
        <v>11</v>
      </c>
      <c r="AF32" s="221">
        <v>11</v>
      </c>
      <c r="AG32" s="230">
        <v>11.88</v>
      </c>
      <c r="AH32" s="226">
        <f t="shared" si="2"/>
        <v>11</v>
      </c>
      <c r="AI32" s="227">
        <f t="shared" si="3"/>
        <v>11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>
        <v>10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9</v>
      </c>
      <c r="C34" s="221">
        <v>0</v>
      </c>
      <c r="D34" s="221">
        <v>0</v>
      </c>
      <c r="E34" s="221">
        <v>0</v>
      </c>
      <c r="F34" s="221">
        <v>0</v>
      </c>
      <c r="G34" s="221">
        <v>0</v>
      </c>
      <c r="H34" s="221">
        <v>0</v>
      </c>
      <c r="I34" s="221">
        <v>0</v>
      </c>
      <c r="J34" s="221">
        <v>0</v>
      </c>
      <c r="K34" s="221">
        <v>0</v>
      </c>
      <c r="L34" s="221">
        <v>0</v>
      </c>
      <c r="M34" s="221">
        <v>8</v>
      </c>
      <c r="N34" s="221">
        <v>8</v>
      </c>
      <c r="O34" s="221">
        <v>8</v>
      </c>
      <c r="P34" s="221">
        <v>8</v>
      </c>
      <c r="Q34" s="221">
        <v>8</v>
      </c>
      <c r="R34" s="221">
        <v>8</v>
      </c>
      <c r="S34" s="221">
        <v>8</v>
      </c>
      <c r="T34" s="221">
        <v>8</v>
      </c>
      <c r="U34" s="221">
        <v>8</v>
      </c>
      <c r="V34" s="221">
        <v>0</v>
      </c>
      <c r="W34" s="221">
        <v>0</v>
      </c>
      <c r="X34" s="221">
        <v>8</v>
      </c>
      <c r="Y34" s="221">
        <v>8</v>
      </c>
      <c r="Z34" s="221">
        <v>8</v>
      </c>
      <c r="AA34" s="221">
        <v>8</v>
      </c>
      <c r="AB34" s="221">
        <v>8</v>
      </c>
      <c r="AC34" s="221">
        <v>8</v>
      </c>
      <c r="AD34" s="221">
        <v>8</v>
      </c>
      <c r="AE34" s="221">
        <v>8</v>
      </c>
      <c r="AF34" s="221">
        <v>8</v>
      </c>
      <c r="AG34" s="235">
        <v>10</v>
      </c>
      <c r="AH34" s="226">
        <f t="shared" si="2"/>
        <v>9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>
        <v>2</v>
      </c>
      <c r="T35" s="221">
        <v>2</v>
      </c>
      <c r="U35" s="221">
        <v>2</v>
      </c>
      <c r="V35" s="221">
        <v>2</v>
      </c>
      <c r="W35" s="221">
        <v>2</v>
      </c>
      <c r="X35" s="221">
        <v>2</v>
      </c>
      <c r="Y35" s="221">
        <v>2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>
        <v>300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178</v>
      </c>
      <c r="C37" s="239">
        <v>173</v>
      </c>
      <c r="D37" s="239">
        <v>173</v>
      </c>
      <c r="E37" s="237">
        <f>81.9+94.6</f>
        <v>176.5</v>
      </c>
      <c r="F37" s="237">
        <f>81.6+94.9</f>
        <v>176.5</v>
      </c>
      <c r="G37" s="237">
        <f>81.2+94.6</f>
        <v>175.8</v>
      </c>
      <c r="H37" s="237">
        <f>81.1+95</f>
        <v>176.1</v>
      </c>
      <c r="I37" s="237">
        <f>81.4+94.6</f>
        <v>176</v>
      </c>
      <c r="J37" s="237">
        <f>81.5+93.6</f>
        <v>175.1</v>
      </c>
      <c r="K37" s="237">
        <f>76+93.4</f>
        <v>169.4</v>
      </c>
      <c r="L37" s="237">
        <f>82.1+93.6</f>
        <v>175.7</v>
      </c>
      <c r="M37" s="237">
        <f>82.4+95.2</f>
        <v>177.60000000000002</v>
      </c>
      <c r="N37" s="237">
        <f>81.6+95.8</f>
        <v>177.39999999999998</v>
      </c>
      <c r="O37" s="237">
        <f>82+94.1</f>
        <v>176.1</v>
      </c>
      <c r="P37" s="237">
        <f>82.5+94.1</f>
        <v>176.6</v>
      </c>
      <c r="Q37" s="237">
        <f>82.6+94.4</f>
        <v>177</v>
      </c>
      <c r="R37" s="237">
        <f>82.6+94.4</f>
        <v>177</v>
      </c>
      <c r="S37" s="237">
        <f>82.6+94.4</f>
        <v>177</v>
      </c>
      <c r="T37" s="237">
        <f>82.6+94.4</f>
        <v>177</v>
      </c>
      <c r="U37" s="237">
        <v>170</v>
      </c>
      <c r="V37" s="237">
        <v>170</v>
      </c>
      <c r="W37" s="237">
        <v>170</v>
      </c>
      <c r="X37" s="237">
        <f>81.7+93.2</f>
        <v>174.9</v>
      </c>
      <c r="Y37" s="237">
        <f>81.2+93.1</f>
        <v>174.3</v>
      </c>
      <c r="Z37" s="237">
        <f>78.6+93</f>
        <v>171.6</v>
      </c>
      <c r="AA37" s="237">
        <f>79+93.6</f>
        <v>172.6</v>
      </c>
      <c r="AB37" s="237">
        <f>79+93.6</f>
        <v>172.6</v>
      </c>
      <c r="AC37" s="237">
        <f>81.7+95</f>
        <v>176.7</v>
      </c>
      <c r="AD37" s="237">
        <f>81.7+95</f>
        <v>176.7</v>
      </c>
      <c r="AE37" s="237">
        <f>81.7+95</f>
        <v>176.7</v>
      </c>
      <c r="AF37" s="239">
        <f>82.5+97.1</f>
        <v>179.6</v>
      </c>
      <c r="AG37" s="235">
        <v>240</v>
      </c>
      <c r="AH37" s="226">
        <f t="shared" si="2"/>
        <v>179.6</v>
      </c>
      <c r="AI37" s="227">
        <f t="shared" si="3"/>
        <v>169.4</v>
      </c>
      <c r="AK37" s="228"/>
    </row>
    <row r="38" spans="1:88" ht="15.75" thickBot="1" x14ac:dyDescent="0.3">
      <c r="A38" s="240" t="s">
        <v>46</v>
      </c>
      <c r="B38" s="241">
        <v>757.4</v>
      </c>
      <c r="C38" s="241">
        <f t="shared" ref="C38:AG38" si="4">SUM(C11:C36)</f>
        <v>755.8</v>
      </c>
      <c r="D38" s="241">
        <f t="shared" si="4"/>
        <v>724.8</v>
      </c>
      <c r="E38" s="241">
        <f t="shared" si="4"/>
        <v>739.8</v>
      </c>
      <c r="F38" s="241">
        <f t="shared" si="4"/>
        <v>739.8</v>
      </c>
      <c r="G38" s="241">
        <f t="shared" si="4"/>
        <v>737.3</v>
      </c>
      <c r="H38" s="241">
        <f t="shared" si="4"/>
        <v>737.3</v>
      </c>
      <c r="I38" s="241">
        <f t="shared" si="4"/>
        <v>729.3</v>
      </c>
      <c r="J38" s="241">
        <f t="shared" si="4"/>
        <v>721.3</v>
      </c>
      <c r="K38" s="241">
        <f t="shared" si="4"/>
        <v>743.8</v>
      </c>
      <c r="L38" s="241">
        <f t="shared" si="4"/>
        <v>770.8</v>
      </c>
      <c r="M38" s="241">
        <f t="shared" si="4"/>
        <v>801.5</v>
      </c>
      <c r="N38" s="241">
        <f t="shared" si="4"/>
        <v>809.5</v>
      </c>
      <c r="O38" s="241">
        <f t="shared" si="4"/>
        <v>779.5</v>
      </c>
      <c r="P38" s="241">
        <f t="shared" si="4"/>
        <v>770</v>
      </c>
      <c r="Q38" s="241">
        <f t="shared" si="4"/>
        <v>728.2</v>
      </c>
      <c r="R38" s="241">
        <f t="shared" si="4"/>
        <v>728.2</v>
      </c>
      <c r="S38" s="241">
        <f t="shared" si="4"/>
        <v>758.2</v>
      </c>
      <c r="T38" s="241">
        <f t="shared" si="4"/>
        <v>758.2</v>
      </c>
      <c r="U38" s="241">
        <f t="shared" si="4"/>
        <v>758.2</v>
      </c>
      <c r="V38" s="241">
        <f t="shared" si="4"/>
        <v>750.2</v>
      </c>
      <c r="W38" s="241">
        <f t="shared" si="4"/>
        <v>750.2</v>
      </c>
      <c r="X38" s="241">
        <f t="shared" si="4"/>
        <v>803.1</v>
      </c>
      <c r="Y38" s="241">
        <f t="shared" si="4"/>
        <v>804.59999999999991</v>
      </c>
      <c r="Z38" s="241">
        <f t="shared" si="4"/>
        <v>787</v>
      </c>
      <c r="AA38" s="241">
        <f t="shared" si="4"/>
        <v>791.39999999999986</v>
      </c>
      <c r="AB38" s="241">
        <f t="shared" si="4"/>
        <v>796.39999999999986</v>
      </c>
      <c r="AC38" s="241">
        <f t="shared" si="4"/>
        <v>757.69999999999993</v>
      </c>
      <c r="AD38" s="241">
        <f t="shared" si="4"/>
        <v>757.69999999999993</v>
      </c>
      <c r="AE38" s="241">
        <f t="shared" si="4"/>
        <v>757.69999999999993</v>
      </c>
      <c r="AF38" s="241">
        <f t="shared" si="4"/>
        <v>757.69999999999993</v>
      </c>
      <c r="AG38" s="242">
        <f t="shared" si="4"/>
        <v>665.78</v>
      </c>
      <c r="AH38" s="226">
        <f t="shared" si="2"/>
        <v>809.5</v>
      </c>
      <c r="AI38" s="227">
        <f t="shared" si="3"/>
        <v>721.3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420</v>
      </c>
      <c r="J39" s="221">
        <v>456</v>
      </c>
      <c r="K39" s="221">
        <v>456</v>
      </c>
      <c r="L39" s="221">
        <v>456</v>
      </c>
      <c r="M39" s="221">
        <v>456</v>
      </c>
      <c r="N39" s="221">
        <v>456</v>
      </c>
      <c r="O39" s="221">
        <v>456</v>
      </c>
      <c r="P39" s="221">
        <v>456</v>
      </c>
      <c r="Q39" s="221">
        <v>456</v>
      </c>
      <c r="R39" s="221">
        <v>456</v>
      </c>
      <c r="S39" s="221">
        <v>380</v>
      </c>
      <c r="T39" s="221">
        <v>380</v>
      </c>
      <c r="U39" s="221">
        <v>380</v>
      </c>
      <c r="V39" s="221">
        <v>380</v>
      </c>
      <c r="W39" s="221">
        <v>380</v>
      </c>
      <c r="X39" s="221">
        <v>380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456</v>
      </c>
      <c r="AG39" s="230">
        <v>456</v>
      </c>
      <c r="AH39" s="226">
        <f t="shared" si="2"/>
        <v>456</v>
      </c>
      <c r="AI39" s="227">
        <f t="shared" si="3"/>
        <v>380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>
        <v>60</v>
      </c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>
        <v>22</v>
      </c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5">SUM(C39:C41)</f>
        <v>538</v>
      </c>
      <c r="D42" s="241">
        <f t="shared" si="5"/>
        <v>538</v>
      </c>
      <c r="E42" s="241">
        <f t="shared" si="5"/>
        <v>538</v>
      </c>
      <c r="F42" s="241">
        <f t="shared" si="5"/>
        <v>538</v>
      </c>
      <c r="G42" s="241">
        <f t="shared" si="5"/>
        <v>538</v>
      </c>
      <c r="H42" s="241">
        <f t="shared" si="5"/>
        <v>538</v>
      </c>
      <c r="I42" s="241">
        <f t="shared" si="5"/>
        <v>502</v>
      </c>
      <c r="J42" s="241">
        <f t="shared" si="5"/>
        <v>538</v>
      </c>
      <c r="K42" s="241">
        <f t="shared" si="5"/>
        <v>538</v>
      </c>
      <c r="L42" s="241">
        <f t="shared" si="5"/>
        <v>538</v>
      </c>
      <c r="M42" s="241">
        <f t="shared" si="5"/>
        <v>538</v>
      </c>
      <c r="N42" s="241">
        <f t="shared" si="5"/>
        <v>538</v>
      </c>
      <c r="O42" s="241">
        <f t="shared" si="5"/>
        <v>538</v>
      </c>
      <c r="P42" s="241">
        <f t="shared" si="5"/>
        <v>538</v>
      </c>
      <c r="Q42" s="241">
        <f t="shared" si="5"/>
        <v>538</v>
      </c>
      <c r="R42" s="241">
        <f t="shared" si="5"/>
        <v>538</v>
      </c>
      <c r="S42" s="241">
        <f t="shared" si="5"/>
        <v>462</v>
      </c>
      <c r="T42" s="241">
        <f t="shared" si="5"/>
        <v>462</v>
      </c>
      <c r="U42" s="241">
        <f t="shared" si="5"/>
        <v>462</v>
      </c>
      <c r="V42" s="241">
        <f t="shared" si="5"/>
        <v>462</v>
      </c>
      <c r="W42" s="241">
        <f t="shared" si="5"/>
        <v>462</v>
      </c>
      <c r="X42" s="241">
        <f t="shared" si="5"/>
        <v>462</v>
      </c>
      <c r="Y42" s="241">
        <f t="shared" si="5"/>
        <v>538</v>
      </c>
      <c r="Z42" s="241">
        <f t="shared" ref="Z42" si="6">SUM(Z39:Z41)</f>
        <v>538</v>
      </c>
      <c r="AA42" s="241">
        <f t="shared" si="5"/>
        <v>538</v>
      </c>
      <c r="AB42" s="241">
        <f t="shared" si="5"/>
        <v>538</v>
      </c>
      <c r="AC42" s="241">
        <f t="shared" si="5"/>
        <v>538</v>
      </c>
      <c r="AD42" s="241">
        <f t="shared" si="5"/>
        <v>538</v>
      </c>
      <c r="AE42" s="241">
        <f t="shared" si="5"/>
        <v>538</v>
      </c>
      <c r="AF42" s="241">
        <f t="shared" si="5"/>
        <v>538</v>
      </c>
      <c r="AG42" s="242">
        <f t="shared" si="5"/>
        <v>538.1</v>
      </c>
      <c r="AH42" s="226">
        <f t="shared" si="2"/>
        <v>538</v>
      </c>
      <c r="AI42" s="227">
        <f t="shared" si="3"/>
        <v>462</v>
      </c>
      <c r="AK42" s="228"/>
    </row>
    <row r="43" spans="1:88" x14ac:dyDescent="0.25">
      <c r="A43" s="220" t="s">
        <v>51</v>
      </c>
      <c r="B43" s="221">
        <v>143.1</v>
      </c>
      <c r="C43" s="221">
        <v>143.1</v>
      </c>
      <c r="D43" s="221">
        <v>142.6</v>
      </c>
      <c r="E43" s="221">
        <v>116</v>
      </c>
      <c r="F43" s="221">
        <v>72.8</v>
      </c>
      <c r="G43" s="221">
        <v>73.400000000000006</v>
      </c>
      <c r="H43" s="221">
        <v>73.099999999999994</v>
      </c>
      <c r="I43" s="221">
        <v>73.400000000000006</v>
      </c>
      <c r="J43" s="221">
        <v>73.099999999999994</v>
      </c>
      <c r="K43" s="221">
        <v>92</v>
      </c>
      <c r="L43" s="221">
        <v>95.9</v>
      </c>
      <c r="M43" s="221">
        <v>93.7</v>
      </c>
      <c r="N43" s="221">
        <v>74.099999999999994</v>
      </c>
      <c r="O43" s="221">
        <v>138.9</v>
      </c>
      <c r="P43" s="221">
        <v>131.4</v>
      </c>
      <c r="Q43" s="221">
        <v>138.6</v>
      </c>
      <c r="R43" s="221">
        <v>138.6</v>
      </c>
      <c r="S43" s="221">
        <v>138.6</v>
      </c>
      <c r="T43" s="221">
        <v>139.6</v>
      </c>
      <c r="U43" s="221">
        <v>139.6</v>
      </c>
      <c r="V43" s="221">
        <v>139.6</v>
      </c>
      <c r="W43" s="221">
        <v>139.6</v>
      </c>
      <c r="X43" s="221">
        <v>139.1</v>
      </c>
      <c r="Y43" s="221">
        <v>138.5</v>
      </c>
      <c r="Z43" s="221">
        <v>138.1</v>
      </c>
      <c r="AA43" s="221">
        <v>138.4</v>
      </c>
      <c r="AB43" s="221">
        <v>138.4</v>
      </c>
      <c r="AC43" s="221">
        <v>138.4</v>
      </c>
      <c r="AD43" s="221">
        <v>138.4</v>
      </c>
      <c r="AE43" s="221">
        <v>130</v>
      </c>
      <c r="AF43" s="221">
        <v>121</v>
      </c>
      <c r="AG43" s="230">
        <v>144</v>
      </c>
      <c r="AH43" s="226">
        <f t="shared" si="2"/>
        <v>143.1</v>
      </c>
      <c r="AI43" s="227">
        <f t="shared" si="3"/>
        <v>72.8</v>
      </c>
      <c r="AK43" s="228"/>
    </row>
    <row r="44" spans="1:88" x14ac:dyDescent="0.25">
      <c r="A44" s="234" t="s">
        <v>52</v>
      </c>
      <c r="B44" s="245">
        <v>71</v>
      </c>
      <c r="C44" s="245">
        <v>70.7</v>
      </c>
      <c r="D44" s="245">
        <v>61</v>
      </c>
      <c r="E44" s="245">
        <v>61.3</v>
      </c>
      <c r="F44" s="245">
        <v>70.3</v>
      </c>
      <c r="G44" s="245">
        <v>60</v>
      </c>
      <c r="H44" s="245">
        <v>61</v>
      </c>
      <c r="I44" s="245">
        <v>62</v>
      </c>
      <c r="J44" s="245">
        <v>63</v>
      </c>
      <c r="K44" s="245">
        <v>71</v>
      </c>
      <c r="L44" s="245">
        <v>71.400000000000006</v>
      </c>
      <c r="M44" s="221">
        <v>70.8</v>
      </c>
      <c r="N44" s="221">
        <v>70.8</v>
      </c>
      <c r="O44" s="221">
        <v>70.2</v>
      </c>
      <c r="P44" s="221">
        <v>60</v>
      </c>
      <c r="Q44" s="221">
        <v>72.599999999999994</v>
      </c>
      <c r="R44" s="221">
        <v>72.599999999999994</v>
      </c>
      <c r="S44" s="221">
        <v>72.599999999999994</v>
      </c>
      <c r="T44" s="245">
        <v>73</v>
      </c>
      <c r="U44" s="245">
        <v>73</v>
      </c>
      <c r="V44" s="245">
        <v>73</v>
      </c>
      <c r="W44" s="245">
        <v>73</v>
      </c>
      <c r="X44" s="245">
        <v>73.5</v>
      </c>
      <c r="Y44" s="245">
        <v>73.3</v>
      </c>
      <c r="Z44" s="245">
        <v>72.7</v>
      </c>
      <c r="AA44" s="245">
        <v>72.400000000000006</v>
      </c>
      <c r="AB44" s="245">
        <v>72.400000000000006</v>
      </c>
      <c r="AC44" s="245">
        <v>72.400000000000006</v>
      </c>
      <c r="AD44" s="245">
        <v>72.400000000000006</v>
      </c>
      <c r="AE44" s="245">
        <v>62</v>
      </c>
      <c r="AF44" s="245">
        <v>51</v>
      </c>
      <c r="AG44" s="235">
        <v>70</v>
      </c>
      <c r="AH44" s="226">
        <f t="shared" si="2"/>
        <v>73.5</v>
      </c>
      <c r="AI44" s="227">
        <f t="shared" si="3"/>
        <v>51</v>
      </c>
      <c r="AK44" s="228"/>
    </row>
    <row r="45" spans="1:88" x14ac:dyDescent="0.25">
      <c r="A45" s="234" t="s">
        <v>53</v>
      </c>
      <c r="B45" s="245">
        <v>64.3</v>
      </c>
      <c r="C45" s="245">
        <v>61.2</v>
      </c>
      <c r="D45" s="245">
        <v>63.7</v>
      </c>
      <c r="E45" s="245">
        <v>56.4</v>
      </c>
      <c r="F45" s="245">
        <v>63.2</v>
      </c>
      <c r="G45" s="245">
        <v>60</v>
      </c>
      <c r="H45" s="245">
        <v>62.7</v>
      </c>
      <c r="I45" s="245">
        <v>55.5</v>
      </c>
      <c r="J45" s="245">
        <v>52.6</v>
      </c>
      <c r="K45" s="245">
        <v>62.1</v>
      </c>
      <c r="L45" s="245">
        <v>62.6</v>
      </c>
      <c r="M45" s="221">
        <v>62.9</v>
      </c>
      <c r="N45" s="221">
        <v>62.9</v>
      </c>
      <c r="O45" s="221">
        <v>63.8</v>
      </c>
      <c r="P45" s="221">
        <v>61.9</v>
      </c>
      <c r="Q45" s="221">
        <v>64.099999999999994</v>
      </c>
      <c r="R45" s="221">
        <v>46</v>
      </c>
      <c r="S45" s="221">
        <v>46</v>
      </c>
      <c r="T45" s="245">
        <v>64</v>
      </c>
      <c r="U45" s="245">
        <v>64</v>
      </c>
      <c r="V45" s="245">
        <v>64</v>
      </c>
      <c r="W45" s="245">
        <v>64</v>
      </c>
      <c r="X45" s="245">
        <v>63.8</v>
      </c>
      <c r="Y45" s="245">
        <v>63.8</v>
      </c>
      <c r="Z45" s="245">
        <v>64.3</v>
      </c>
      <c r="AA45" s="245">
        <v>64.2</v>
      </c>
      <c r="AB45" s="245">
        <v>64.2</v>
      </c>
      <c r="AC45" s="245">
        <v>64.2</v>
      </c>
      <c r="AD45" s="245">
        <v>64.2</v>
      </c>
      <c r="AE45" s="245">
        <v>52</v>
      </c>
      <c r="AF45" s="245">
        <v>52</v>
      </c>
      <c r="AG45" s="235">
        <v>69</v>
      </c>
      <c r="AH45" s="226">
        <f t="shared" si="2"/>
        <v>64.3</v>
      </c>
      <c r="AI45" s="227">
        <f t="shared" si="3"/>
        <v>46</v>
      </c>
      <c r="AK45" s="228"/>
    </row>
    <row r="46" spans="1:88" x14ac:dyDescent="0.25">
      <c r="A46" s="234" t="s">
        <v>54</v>
      </c>
      <c r="B46" s="237">
        <v>60.4</v>
      </c>
      <c r="C46" s="237">
        <v>60.4</v>
      </c>
      <c r="D46" s="237">
        <v>60</v>
      </c>
      <c r="E46" s="237">
        <v>51.6</v>
      </c>
      <c r="F46" s="237">
        <v>61.4</v>
      </c>
      <c r="G46" s="237">
        <v>50.2</v>
      </c>
      <c r="H46" s="237">
        <v>50.2</v>
      </c>
      <c r="I46" s="237">
        <v>50.2</v>
      </c>
      <c r="J46" s="237">
        <v>60.9</v>
      </c>
      <c r="K46" s="237">
        <v>61.4</v>
      </c>
      <c r="L46" s="237">
        <v>61.2</v>
      </c>
      <c r="M46" s="221">
        <v>61.4</v>
      </c>
      <c r="N46" s="221">
        <v>61.4</v>
      </c>
      <c r="O46" s="221">
        <v>61.4</v>
      </c>
      <c r="P46" s="221">
        <v>50.4</v>
      </c>
      <c r="Q46" s="221">
        <v>60.9</v>
      </c>
      <c r="R46" s="221">
        <v>60.9</v>
      </c>
      <c r="S46" s="221">
        <v>60.9</v>
      </c>
      <c r="T46" s="221">
        <v>61.4</v>
      </c>
      <c r="U46" s="221">
        <v>61.4</v>
      </c>
      <c r="V46" s="221">
        <v>61.4</v>
      </c>
      <c r="W46" s="221">
        <v>61.4</v>
      </c>
      <c r="X46" s="245">
        <v>61.4</v>
      </c>
      <c r="Y46" s="245">
        <v>61.4</v>
      </c>
      <c r="Z46" s="245">
        <v>61.4</v>
      </c>
      <c r="AA46" s="245">
        <v>61.4</v>
      </c>
      <c r="AB46" s="245">
        <v>61.4</v>
      </c>
      <c r="AC46" s="245">
        <v>61.4</v>
      </c>
      <c r="AD46" s="245">
        <v>61.4</v>
      </c>
      <c r="AE46" s="245">
        <v>42</v>
      </c>
      <c r="AF46" s="237">
        <v>42</v>
      </c>
      <c r="AG46" s="235">
        <v>60</v>
      </c>
      <c r="AH46" s="226">
        <f t="shared" si="2"/>
        <v>61.4</v>
      </c>
      <c r="AI46" s="227">
        <f t="shared" si="3"/>
        <v>42</v>
      </c>
      <c r="AK46" s="228"/>
    </row>
    <row r="47" spans="1:88" x14ac:dyDescent="0.25">
      <c r="A47" s="234" t="s">
        <v>55</v>
      </c>
      <c r="B47" s="237">
        <v>28.5</v>
      </c>
      <c r="C47" s="237">
        <v>28.5</v>
      </c>
      <c r="D47" s="237">
        <v>28.5</v>
      </c>
      <c r="E47" s="237">
        <v>28.5</v>
      </c>
      <c r="F47" s="237">
        <v>28.5</v>
      </c>
      <c r="G47" s="237">
        <v>28.5</v>
      </c>
      <c r="H47" s="237">
        <v>28.5</v>
      </c>
      <c r="I47" s="237">
        <v>28.5</v>
      </c>
      <c r="J47" s="237">
        <v>28.5</v>
      </c>
      <c r="K47" s="237">
        <v>28.5</v>
      </c>
      <c r="L47" s="237">
        <v>28.5</v>
      </c>
      <c r="M47" s="221">
        <v>28.5</v>
      </c>
      <c r="N47" s="221">
        <v>28.5</v>
      </c>
      <c r="O47" s="221">
        <v>28.5</v>
      </c>
      <c r="P47" s="221">
        <v>28.5</v>
      </c>
      <c r="Q47" s="221">
        <v>28.5</v>
      </c>
      <c r="R47" s="221">
        <v>28.5</v>
      </c>
      <c r="S47" s="221">
        <v>28.5</v>
      </c>
      <c r="T47" s="221">
        <v>28.5</v>
      </c>
      <c r="U47" s="221">
        <v>28.5</v>
      </c>
      <c r="V47" s="221">
        <v>28.5</v>
      </c>
      <c r="W47" s="221">
        <v>28.5</v>
      </c>
      <c r="X47" s="245">
        <v>28.6</v>
      </c>
      <c r="Y47" s="245">
        <v>28.6</v>
      </c>
      <c r="Z47" s="245">
        <v>28.6</v>
      </c>
      <c r="AA47" s="245">
        <v>28.3</v>
      </c>
      <c r="AB47" s="245">
        <v>28.3</v>
      </c>
      <c r="AC47" s="245">
        <v>28.3</v>
      </c>
      <c r="AD47" s="245">
        <v>28.3</v>
      </c>
      <c r="AE47" s="245">
        <v>28.3</v>
      </c>
      <c r="AF47" s="237">
        <v>29</v>
      </c>
      <c r="AG47" s="235">
        <v>30</v>
      </c>
      <c r="AH47" s="226">
        <f t="shared" si="2"/>
        <v>29</v>
      </c>
      <c r="AI47" s="227">
        <f t="shared" si="3"/>
        <v>28.3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45">
        <v>0</v>
      </c>
      <c r="L48" s="245">
        <v>0</v>
      </c>
      <c r="M48" s="221">
        <v>6</v>
      </c>
      <c r="N48" s="221">
        <v>8</v>
      </c>
      <c r="O48" s="221">
        <v>10</v>
      </c>
      <c r="P48" s="221">
        <v>10</v>
      </c>
      <c r="Q48" s="221">
        <v>10</v>
      </c>
      <c r="R48" s="221">
        <v>10</v>
      </c>
      <c r="S48" s="221">
        <v>10</v>
      </c>
      <c r="T48" s="221">
        <v>10</v>
      </c>
      <c r="U48" s="221">
        <v>10</v>
      </c>
      <c r="V48" s="221">
        <v>10</v>
      </c>
      <c r="W48" s="221">
        <v>10</v>
      </c>
      <c r="X48" s="221">
        <v>1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45">
        <v>0</v>
      </c>
      <c r="AG48" s="235">
        <v>25</v>
      </c>
      <c r="AH48" s="226">
        <f t="shared" si="2"/>
        <v>10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13.8</v>
      </c>
      <c r="C49" s="245">
        <v>10.7</v>
      </c>
      <c r="D49" s="245">
        <v>10.8</v>
      </c>
      <c r="E49" s="245">
        <v>10.8</v>
      </c>
      <c r="F49" s="245">
        <v>10.8</v>
      </c>
      <c r="G49" s="245">
        <v>10.8</v>
      </c>
      <c r="H49" s="245">
        <v>10.8</v>
      </c>
      <c r="I49" s="245">
        <v>10.8</v>
      </c>
      <c r="J49" s="245">
        <v>16.7</v>
      </c>
      <c r="K49" s="245">
        <v>16.7</v>
      </c>
      <c r="L49" s="245">
        <v>16.7</v>
      </c>
      <c r="M49" s="221">
        <v>16.600000000000001</v>
      </c>
      <c r="N49" s="221">
        <v>16.600000000000001</v>
      </c>
      <c r="O49" s="221">
        <v>16.7</v>
      </c>
      <c r="P49" s="221">
        <v>16.7</v>
      </c>
      <c r="Q49" s="221">
        <v>17.399999999999999</v>
      </c>
      <c r="R49" s="221">
        <v>17.399999999999999</v>
      </c>
      <c r="S49" s="221">
        <v>17.399999999999999</v>
      </c>
      <c r="T49" s="221">
        <v>17.399999999999999</v>
      </c>
      <c r="U49" s="221">
        <v>17.399999999999999</v>
      </c>
      <c r="V49" s="221">
        <v>17.399999999999999</v>
      </c>
      <c r="W49" s="221">
        <v>17.399999999999999</v>
      </c>
      <c r="X49" s="221">
        <v>17.2</v>
      </c>
      <c r="Y49" s="221">
        <v>17.100000000000001</v>
      </c>
      <c r="Z49" s="221">
        <v>17.100000000000001</v>
      </c>
      <c r="AA49" s="221">
        <v>17.2</v>
      </c>
      <c r="AB49" s="221">
        <v>17.2</v>
      </c>
      <c r="AC49" s="221">
        <v>17.2</v>
      </c>
      <c r="AD49" s="221">
        <v>17.2</v>
      </c>
      <c r="AE49" s="221">
        <v>17.2</v>
      </c>
      <c r="AF49" s="221">
        <v>17.2</v>
      </c>
      <c r="AG49" s="235">
        <v>24</v>
      </c>
      <c r="AH49" s="226">
        <f t="shared" si="2"/>
        <v>17.399999999999999</v>
      </c>
      <c r="AI49" s="227">
        <f t="shared" si="3"/>
        <v>10.7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>
        <v>3</v>
      </c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12.2</v>
      </c>
      <c r="C51" s="245">
        <v>12.2</v>
      </c>
      <c r="D51" s="245">
        <v>10</v>
      </c>
      <c r="E51" s="245">
        <v>10</v>
      </c>
      <c r="F51" s="245">
        <v>10</v>
      </c>
      <c r="G51" s="245">
        <v>10</v>
      </c>
      <c r="H51" s="245">
        <v>10</v>
      </c>
      <c r="I51" s="245">
        <v>10</v>
      </c>
      <c r="J51" s="245">
        <v>10</v>
      </c>
      <c r="K51" s="245">
        <v>12.3</v>
      </c>
      <c r="L51" s="245">
        <v>12.3</v>
      </c>
      <c r="M51" s="221">
        <v>13.1</v>
      </c>
      <c r="N51" s="221">
        <v>13.1</v>
      </c>
      <c r="O51" s="221">
        <v>13.2</v>
      </c>
      <c r="P51" s="221">
        <v>13.2</v>
      </c>
      <c r="Q51" s="221">
        <v>12.9</v>
      </c>
      <c r="R51" s="221">
        <v>12.9</v>
      </c>
      <c r="S51" s="221">
        <v>12.9</v>
      </c>
      <c r="T51" s="221">
        <v>12.9</v>
      </c>
      <c r="U51" s="221">
        <v>12.9</v>
      </c>
      <c r="V51" s="221">
        <v>12.9</v>
      </c>
      <c r="W51" s="221">
        <v>12.9</v>
      </c>
      <c r="X51" s="221">
        <v>13.3</v>
      </c>
      <c r="Y51" s="221">
        <v>13.1</v>
      </c>
      <c r="Z51" s="221">
        <v>13.4</v>
      </c>
      <c r="AA51" s="221">
        <v>13.6</v>
      </c>
      <c r="AB51" s="221">
        <v>13.6</v>
      </c>
      <c r="AC51" s="221">
        <v>13.6</v>
      </c>
      <c r="AD51" s="221">
        <v>13.6</v>
      </c>
      <c r="AE51" s="221">
        <v>13.6</v>
      </c>
      <c r="AF51" s="221">
        <v>13.6</v>
      </c>
      <c r="AG51" s="235">
        <v>14.1</v>
      </c>
      <c r="AH51" s="226">
        <f t="shared" si="2"/>
        <v>13.6</v>
      </c>
      <c r="AI51" s="227">
        <f t="shared" si="3"/>
        <v>10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0</v>
      </c>
      <c r="C52" s="245">
        <v>0</v>
      </c>
      <c r="D52" s="245">
        <v>0</v>
      </c>
      <c r="E52" s="245">
        <v>0</v>
      </c>
      <c r="F52" s="245">
        <v>7</v>
      </c>
      <c r="G52" s="245">
        <v>10.4</v>
      </c>
      <c r="H52" s="245">
        <v>10.4</v>
      </c>
      <c r="I52" s="245">
        <v>13.4</v>
      </c>
      <c r="J52" s="245">
        <v>13.4</v>
      </c>
      <c r="K52" s="245">
        <v>13.4</v>
      </c>
      <c r="L52" s="245">
        <v>13.4</v>
      </c>
      <c r="M52" s="221">
        <v>13.9</v>
      </c>
      <c r="N52" s="221">
        <v>13.9</v>
      </c>
      <c r="O52" s="221">
        <v>6.9</v>
      </c>
      <c r="P52" s="221">
        <v>10.4</v>
      </c>
      <c r="Q52" s="221">
        <v>14.1</v>
      </c>
      <c r="R52" s="221">
        <v>14.1</v>
      </c>
      <c r="S52" s="221">
        <v>5</v>
      </c>
      <c r="T52" s="221">
        <v>5</v>
      </c>
      <c r="U52" s="221">
        <v>5</v>
      </c>
      <c r="V52" s="221">
        <v>5</v>
      </c>
      <c r="W52" s="221">
        <v>5</v>
      </c>
      <c r="X52" s="221">
        <v>13.9</v>
      </c>
      <c r="Y52" s="221">
        <v>13.9</v>
      </c>
      <c r="Z52" s="221">
        <v>13.8</v>
      </c>
      <c r="AA52" s="221">
        <v>13.9</v>
      </c>
      <c r="AB52" s="221">
        <v>13.9</v>
      </c>
      <c r="AC52" s="221">
        <v>13.9</v>
      </c>
      <c r="AD52" s="221">
        <v>13.9</v>
      </c>
      <c r="AE52" s="221">
        <v>13.9</v>
      </c>
      <c r="AF52" s="221">
        <v>13.9</v>
      </c>
      <c r="AG52" s="235">
        <v>14</v>
      </c>
      <c r="AH52" s="226">
        <f t="shared" si="2"/>
        <v>14.1</v>
      </c>
      <c r="AI52" s="227">
        <f t="shared" si="3"/>
        <v>0</v>
      </c>
      <c r="AK52" s="228"/>
    </row>
    <row r="53" spans="1:41" x14ac:dyDescent="0.25">
      <c r="A53" s="234" t="s">
        <v>61</v>
      </c>
      <c r="B53" s="245">
        <v>9</v>
      </c>
      <c r="C53" s="245">
        <v>9</v>
      </c>
      <c r="D53" s="245">
        <v>9</v>
      </c>
      <c r="E53" s="245">
        <v>9</v>
      </c>
      <c r="F53" s="245">
        <v>9</v>
      </c>
      <c r="G53" s="245">
        <v>9</v>
      </c>
      <c r="H53" s="245">
        <v>9</v>
      </c>
      <c r="I53" s="245">
        <v>9</v>
      </c>
      <c r="J53" s="245">
        <v>9</v>
      </c>
      <c r="K53" s="245">
        <v>9</v>
      </c>
      <c r="L53" s="245">
        <v>9</v>
      </c>
      <c r="M53" s="221">
        <v>9</v>
      </c>
      <c r="N53" s="221">
        <v>9</v>
      </c>
      <c r="O53" s="221">
        <v>9</v>
      </c>
      <c r="P53" s="221">
        <v>9</v>
      </c>
      <c r="Q53" s="221">
        <v>9</v>
      </c>
      <c r="R53" s="221">
        <v>9</v>
      </c>
      <c r="S53" s="221">
        <v>9</v>
      </c>
      <c r="T53" s="221">
        <v>9</v>
      </c>
      <c r="U53" s="221">
        <v>9</v>
      </c>
      <c r="V53" s="221">
        <v>9</v>
      </c>
      <c r="W53" s="221">
        <v>9</v>
      </c>
      <c r="X53" s="221">
        <v>9</v>
      </c>
      <c r="Y53" s="221">
        <v>9</v>
      </c>
      <c r="Z53" s="221">
        <v>9</v>
      </c>
      <c r="AA53" s="221">
        <v>9</v>
      </c>
      <c r="AB53" s="221">
        <v>9</v>
      </c>
      <c r="AC53" s="221">
        <v>9</v>
      </c>
      <c r="AD53" s="221">
        <v>9</v>
      </c>
      <c r="AE53" s="221">
        <v>9</v>
      </c>
      <c r="AF53" s="221">
        <v>9</v>
      </c>
      <c r="AG53" s="235">
        <v>10.050000000000001</v>
      </c>
      <c r="AH53" s="226">
        <f t="shared" si="2"/>
        <v>9</v>
      </c>
      <c r="AI53" s="227">
        <f t="shared" si="3"/>
        <v>9</v>
      </c>
      <c r="AK53" s="228"/>
    </row>
    <row r="54" spans="1:41" x14ac:dyDescent="0.25">
      <c r="A54" s="234" t="s">
        <v>62</v>
      </c>
      <c r="B54" s="245">
        <v>6</v>
      </c>
      <c r="C54" s="245">
        <v>6</v>
      </c>
      <c r="D54" s="245">
        <v>6</v>
      </c>
      <c r="E54" s="245">
        <v>6</v>
      </c>
      <c r="F54" s="245">
        <v>6</v>
      </c>
      <c r="G54" s="245">
        <v>6</v>
      </c>
      <c r="H54" s="245">
        <v>6</v>
      </c>
      <c r="I54" s="245">
        <v>6</v>
      </c>
      <c r="J54" s="245">
        <v>6</v>
      </c>
      <c r="K54" s="245">
        <v>6</v>
      </c>
      <c r="L54" s="245">
        <v>6</v>
      </c>
      <c r="M54" s="221">
        <v>6</v>
      </c>
      <c r="N54" s="221">
        <v>6</v>
      </c>
      <c r="O54" s="221">
        <v>6</v>
      </c>
      <c r="P54" s="221">
        <v>6</v>
      </c>
      <c r="Q54" s="221">
        <v>6</v>
      </c>
      <c r="R54" s="221">
        <v>6</v>
      </c>
      <c r="S54" s="221">
        <v>6</v>
      </c>
      <c r="T54" s="221">
        <v>6</v>
      </c>
      <c r="U54" s="221">
        <v>6</v>
      </c>
      <c r="V54" s="221">
        <v>6</v>
      </c>
      <c r="W54" s="221">
        <v>6</v>
      </c>
      <c r="X54" s="221">
        <v>6</v>
      </c>
      <c r="Y54" s="221">
        <v>6</v>
      </c>
      <c r="Z54" s="221">
        <v>6</v>
      </c>
      <c r="AA54" s="221">
        <v>6</v>
      </c>
      <c r="AB54" s="221">
        <v>6</v>
      </c>
      <c r="AC54" s="221">
        <v>6</v>
      </c>
      <c r="AD54" s="221">
        <v>6</v>
      </c>
      <c r="AE54" s="221">
        <v>6</v>
      </c>
      <c r="AF54" s="221">
        <v>6</v>
      </c>
      <c r="AG54" s="235">
        <v>6.2</v>
      </c>
      <c r="AH54" s="226">
        <f t="shared" si="2"/>
        <v>6</v>
      </c>
      <c r="AI54" s="227">
        <f t="shared" si="3"/>
        <v>6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414.84</v>
      </c>
      <c r="C56" s="241">
        <f t="shared" ref="C56:AG56" si="7">SUM(C43:C55)</f>
        <v>408.34</v>
      </c>
      <c r="D56" s="241">
        <f t="shared" si="7"/>
        <v>398.14000000000004</v>
      </c>
      <c r="E56" s="241">
        <f t="shared" si="7"/>
        <v>356.14000000000004</v>
      </c>
      <c r="F56" s="241">
        <f t="shared" si="7"/>
        <v>345.54</v>
      </c>
      <c r="G56" s="241">
        <f t="shared" si="7"/>
        <v>324.84000000000003</v>
      </c>
      <c r="H56" s="241">
        <f t="shared" si="7"/>
        <v>328.24</v>
      </c>
      <c r="I56" s="241">
        <f t="shared" si="7"/>
        <v>325.34000000000003</v>
      </c>
      <c r="J56" s="241">
        <f t="shared" si="7"/>
        <v>339.74</v>
      </c>
      <c r="K56" s="241">
        <f t="shared" si="7"/>
        <v>378.94</v>
      </c>
      <c r="L56" s="241">
        <f t="shared" si="7"/>
        <v>383.54</v>
      </c>
      <c r="M56" s="241">
        <f t="shared" si="7"/>
        <v>388.44000000000005</v>
      </c>
      <c r="N56" s="241">
        <f t="shared" si="7"/>
        <v>370.84000000000003</v>
      </c>
      <c r="O56" s="241">
        <f t="shared" si="7"/>
        <v>431.14</v>
      </c>
      <c r="P56" s="241">
        <f t="shared" si="7"/>
        <v>404.03999999999996</v>
      </c>
      <c r="Q56" s="241">
        <f t="shared" si="7"/>
        <v>440.63999999999993</v>
      </c>
      <c r="R56" s="241">
        <f t="shared" si="7"/>
        <v>422.53999999999996</v>
      </c>
      <c r="S56" s="241">
        <f t="shared" si="7"/>
        <v>413.43999999999994</v>
      </c>
      <c r="T56" s="241">
        <f t="shared" si="7"/>
        <v>433.34</v>
      </c>
      <c r="U56" s="241">
        <f t="shared" si="7"/>
        <v>433.34</v>
      </c>
      <c r="V56" s="241">
        <f t="shared" si="7"/>
        <v>433.34</v>
      </c>
      <c r="W56" s="241">
        <f t="shared" si="7"/>
        <v>433.34</v>
      </c>
      <c r="X56" s="241">
        <f t="shared" si="7"/>
        <v>433.34</v>
      </c>
      <c r="Y56" s="241">
        <f t="shared" si="7"/>
        <v>431.24000000000007</v>
      </c>
      <c r="Z56" s="241">
        <f t="shared" ref="Z56" si="8">SUM(Z43:Z55)</f>
        <v>430.94000000000005</v>
      </c>
      <c r="AA56" s="241">
        <f t="shared" si="7"/>
        <v>430.94</v>
      </c>
      <c r="AB56" s="241">
        <f t="shared" si="7"/>
        <v>430.94</v>
      </c>
      <c r="AC56" s="241">
        <f t="shared" si="7"/>
        <v>430.94</v>
      </c>
      <c r="AD56" s="241">
        <f t="shared" si="7"/>
        <v>430.94</v>
      </c>
      <c r="AE56" s="241">
        <f t="shared" si="7"/>
        <v>380.54</v>
      </c>
      <c r="AF56" s="241">
        <f t="shared" si="7"/>
        <v>361.24</v>
      </c>
      <c r="AG56" s="242">
        <f t="shared" si="7"/>
        <v>489.91</v>
      </c>
      <c r="AH56" s="226">
        <f t="shared" si="2"/>
        <v>440.63999999999993</v>
      </c>
      <c r="AI56" s="227">
        <f t="shared" si="3"/>
        <v>324.84000000000003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>
        <v>0</v>
      </c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0</v>
      </c>
      <c r="Z57" s="221">
        <v>15.3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15.3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6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6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2.2000000000000002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2.2000000000000002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9">SUM(C57:C59)</f>
        <v>0</v>
      </c>
      <c r="D60" s="241">
        <f t="shared" si="9"/>
        <v>0</v>
      </c>
      <c r="E60" s="241">
        <f t="shared" si="9"/>
        <v>0</v>
      </c>
      <c r="F60" s="241">
        <f t="shared" si="9"/>
        <v>0</v>
      </c>
      <c r="G60" s="241">
        <f t="shared" si="9"/>
        <v>0</v>
      </c>
      <c r="H60" s="241">
        <f t="shared" si="9"/>
        <v>0</v>
      </c>
      <c r="I60" s="241">
        <f t="shared" si="9"/>
        <v>0</v>
      </c>
      <c r="J60" s="241">
        <f t="shared" si="9"/>
        <v>0</v>
      </c>
      <c r="K60" s="241">
        <f t="shared" si="9"/>
        <v>0</v>
      </c>
      <c r="L60" s="241">
        <f t="shared" si="9"/>
        <v>0</v>
      </c>
      <c r="M60" s="241">
        <f t="shared" si="9"/>
        <v>0</v>
      </c>
      <c r="N60" s="241">
        <f t="shared" si="9"/>
        <v>0</v>
      </c>
      <c r="O60" s="241">
        <f t="shared" si="9"/>
        <v>0</v>
      </c>
      <c r="P60" s="241">
        <f t="shared" si="9"/>
        <v>0</v>
      </c>
      <c r="Q60" s="241">
        <f t="shared" si="9"/>
        <v>0</v>
      </c>
      <c r="R60" s="241">
        <f t="shared" si="9"/>
        <v>0</v>
      </c>
      <c r="S60" s="241">
        <f t="shared" si="9"/>
        <v>0</v>
      </c>
      <c r="T60" s="241">
        <f t="shared" si="9"/>
        <v>0</v>
      </c>
      <c r="U60" s="241">
        <f t="shared" si="9"/>
        <v>0</v>
      </c>
      <c r="V60" s="241">
        <f t="shared" si="9"/>
        <v>0</v>
      </c>
      <c r="W60" s="241">
        <f t="shared" si="9"/>
        <v>0</v>
      </c>
      <c r="X60" s="241">
        <f t="shared" si="9"/>
        <v>0</v>
      </c>
      <c r="Y60" s="241">
        <f t="shared" si="9"/>
        <v>0</v>
      </c>
      <c r="Z60" s="241">
        <f t="shared" ref="Z60" si="10">SUM(Z57:Z59)</f>
        <v>23.5</v>
      </c>
      <c r="AA60" s="241">
        <f t="shared" si="9"/>
        <v>0</v>
      </c>
      <c r="AB60" s="241">
        <f t="shared" si="9"/>
        <v>0</v>
      </c>
      <c r="AC60" s="241">
        <f t="shared" si="9"/>
        <v>0</v>
      </c>
      <c r="AD60" s="241">
        <f t="shared" si="9"/>
        <v>0</v>
      </c>
      <c r="AE60" s="241">
        <f t="shared" si="9"/>
        <v>0</v>
      </c>
      <c r="AF60" s="241">
        <f t="shared" si="9"/>
        <v>0</v>
      </c>
      <c r="AG60" s="242">
        <f t="shared" si="9"/>
        <v>106</v>
      </c>
      <c r="AH60" s="226">
        <f t="shared" si="2"/>
        <v>23.5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>
        <v>0</v>
      </c>
      <c r="T61" s="221">
        <v>0</v>
      </c>
      <c r="U61" s="221">
        <v>0</v>
      </c>
      <c r="V61" s="221">
        <v>0</v>
      </c>
      <c r="W61" s="221">
        <v>6</v>
      </c>
      <c r="X61" s="221">
        <v>0</v>
      </c>
      <c r="Y61" s="221">
        <v>0</v>
      </c>
      <c r="Z61" s="221">
        <v>0</v>
      </c>
      <c r="AA61" s="221">
        <v>0</v>
      </c>
      <c r="AB61" s="221">
        <v>0</v>
      </c>
      <c r="AC61" s="221">
        <v>0</v>
      </c>
      <c r="AD61" s="221">
        <v>0</v>
      </c>
      <c r="AE61" s="221">
        <v>0</v>
      </c>
      <c r="AF61" s="221">
        <v>0</v>
      </c>
      <c r="AG61" s="230"/>
      <c r="AH61" s="226">
        <f t="shared" si="2"/>
        <v>6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-417</v>
      </c>
      <c r="C63" s="245">
        <v>-410</v>
      </c>
      <c r="D63" s="245">
        <v>-427</v>
      </c>
      <c r="E63" s="245">
        <v>-433</v>
      </c>
      <c r="F63" s="245">
        <v>-430</v>
      </c>
      <c r="G63" s="245">
        <v>-435</v>
      </c>
      <c r="H63" s="245">
        <v>-427</v>
      </c>
      <c r="I63" s="245">
        <v>-437</v>
      </c>
      <c r="J63" s="245">
        <v>-424.4</v>
      </c>
      <c r="K63" s="245">
        <v>-407.3</v>
      </c>
      <c r="L63" s="245">
        <v>-386</v>
      </c>
      <c r="M63" s="245">
        <v>-384</v>
      </c>
      <c r="N63" s="245">
        <v>-394.6</v>
      </c>
      <c r="O63" s="245">
        <v>-409</v>
      </c>
      <c r="P63" s="245">
        <v>-439.9</v>
      </c>
      <c r="Q63" s="245">
        <v>-395.1</v>
      </c>
      <c r="R63" s="245">
        <v>-385</v>
      </c>
      <c r="S63" s="245">
        <v>-340</v>
      </c>
      <c r="T63" s="245">
        <v>-362</v>
      </c>
      <c r="U63" s="245">
        <v>-350</v>
      </c>
      <c r="V63" s="245">
        <v>-250</v>
      </c>
      <c r="W63" s="245">
        <v>-266</v>
      </c>
      <c r="X63" s="245">
        <v>-289.7</v>
      </c>
      <c r="Y63" s="245">
        <v>-275</v>
      </c>
      <c r="Z63" s="245">
        <v>-241</v>
      </c>
      <c r="AA63" s="245">
        <v>-266</v>
      </c>
      <c r="AB63" s="245">
        <v>-346</v>
      </c>
      <c r="AC63" s="245">
        <v>-337</v>
      </c>
      <c r="AD63" s="245">
        <v>-360</v>
      </c>
      <c r="AE63" s="245">
        <v>-418</v>
      </c>
      <c r="AF63" s="245">
        <v>-444</v>
      </c>
      <c r="AG63" s="255"/>
      <c r="AH63" s="226">
        <f t="shared" si="2"/>
        <v>-241</v>
      </c>
      <c r="AI63" s="227">
        <f t="shared" si="3"/>
        <v>-444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>
        <v>0</v>
      </c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4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>
        <v>0</v>
      </c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4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>
        <v>0</v>
      </c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>
        <v>0</v>
      </c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>
        <v>0</v>
      </c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4</v>
      </c>
      <c r="C72" s="241">
        <f t="shared" ref="C72:L72" si="11">SUMIF(C61:C71,"&gt;0")</f>
        <v>0</v>
      </c>
      <c r="D72" s="241">
        <f t="shared" si="11"/>
        <v>0</v>
      </c>
      <c r="E72" s="241">
        <f t="shared" si="11"/>
        <v>0</v>
      </c>
      <c r="F72" s="241">
        <f t="shared" si="11"/>
        <v>0</v>
      </c>
      <c r="G72" s="241">
        <f t="shared" si="11"/>
        <v>0</v>
      </c>
      <c r="H72" s="241">
        <f t="shared" si="11"/>
        <v>0</v>
      </c>
      <c r="I72" s="241">
        <f t="shared" si="11"/>
        <v>0</v>
      </c>
      <c r="J72" s="241">
        <f t="shared" si="11"/>
        <v>0</v>
      </c>
      <c r="K72" s="241">
        <f t="shared" si="11"/>
        <v>0</v>
      </c>
      <c r="L72" s="241">
        <f t="shared" si="11"/>
        <v>0</v>
      </c>
      <c r="M72" s="241">
        <f>SUMIF(M61:M71,"&gt;0")</f>
        <v>0</v>
      </c>
      <c r="N72" s="241">
        <f t="shared" ref="N72:AF72" si="12">SUMIF(N61:N71,"&gt;0")</f>
        <v>0</v>
      </c>
      <c r="O72" s="241">
        <f t="shared" si="12"/>
        <v>0</v>
      </c>
      <c r="P72" s="241">
        <f t="shared" si="12"/>
        <v>0</v>
      </c>
      <c r="Q72" s="241">
        <f t="shared" si="12"/>
        <v>0</v>
      </c>
      <c r="R72" s="241">
        <f t="shared" si="12"/>
        <v>0</v>
      </c>
      <c r="S72" s="241">
        <f t="shared" si="12"/>
        <v>0</v>
      </c>
      <c r="T72" s="241">
        <f t="shared" si="12"/>
        <v>0</v>
      </c>
      <c r="U72" s="241">
        <f t="shared" si="12"/>
        <v>0</v>
      </c>
      <c r="V72" s="241">
        <f t="shared" si="12"/>
        <v>0</v>
      </c>
      <c r="W72" s="241">
        <f t="shared" si="12"/>
        <v>6</v>
      </c>
      <c r="X72" s="241">
        <f t="shared" si="12"/>
        <v>0</v>
      </c>
      <c r="Y72" s="241">
        <f t="shared" si="12"/>
        <v>0</v>
      </c>
      <c r="Z72" s="241">
        <f t="shared" si="12"/>
        <v>0</v>
      </c>
      <c r="AA72" s="241">
        <f t="shared" si="12"/>
        <v>0</v>
      </c>
      <c r="AB72" s="241">
        <f t="shared" si="12"/>
        <v>0</v>
      </c>
      <c r="AC72" s="241">
        <f t="shared" si="12"/>
        <v>0</v>
      </c>
      <c r="AD72" s="241">
        <f t="shared" si="12"/>
        <v>0</v>
      </c>
      <c r="AE72" s="241">
        <f t="shared" si="12"/>
        <v>0</v>
      </c>
      <c r="AF72" s="241">
        <f t="shared" si="12"/>
        <v>0</v>
      </c>
      <c r="AG72" s="261">
        <f>SUM(AG61:AG71)</f>
        <v>0</v>
      </c>
      <c r="AH72" s="226">
        <f t="shared" si="2"/>
        <v>6</v>
      </c>
      <c r="AI72" s="227">
        <f t="shared" si="3"/>
        <v>0</v>
      </c>
      <c r="AK72" s="228"/>
    </row>
    <row r="73" spans="1:88" x14ac:dyDescent="0.25">
      <c r="A73" s="220" t="s">
        <v>81</v>
      </c>
      <c r="B73" s="256">
        <v>0</v>
      </c>
      <c r="C73" s="256">
        <v>0</v>
      </c>
      <c r="D73" s="256">
        <v>0</v>
      </c>
      <c r="E73" s="256">
        <v>0</v>
      </c>
      <c r="F73" s="256">
        <v>0</v>
      </c>
      <c r="G73" s="256">
        <v>0</v>
      </c>
      <c r="H73" s="256">
        <v>0</v>
      </c>
      <c r="I73" s="256">
        <v>0</v>
      </c>
      <c r="J73" s="256">
        <v>0</v>
      </c>
      <c r="K73" s="256">
        <v>0</v>
      </c>
      <c r="L73" s="256">
        <v>0</v>
      </c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>
        <v>0</v>
      </c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>
        <v>0</v>
      </c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>
        <v>0</v>
      </c>
      <c r="C74" s="257">
        <v>0</v>
      </c>
      <c r="D74" s="257">
        <v>0</v>
      </c>
      <c r="E74" s="257">
        <v>0</v>
      </c>
      <c r="F74" s="257">
        <v>0</v>
      </c>
      <c r="G74" s="257">
        <v>0</v>
      </c>
      <c r="H74" s="257">
        <v>0</v>
      </c>
      <c r="I74" s="257">
        <v>0</v>
      </c>
      <c r="J74" s="257">
        <v>0</v>
      </c>
      <c r="K74" s="257">
        <v>0</v>
      </c>
      <c r="L74" s="257">
        <v>0</v>
      </c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>
        <v>0</v>
      </c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>
        <v>0</v>
      </c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>
        <v>0</v>
      </c>
      <c r="C75" s="259">
        <v>0</v>
      </c>
      <c r="D75" s="259">
        <v>0</v>
      </c>
      <c r="E75" s="259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0</v>
      </c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f t="shared" ref="Z76" si="13">SUM(Z73:Z75)</f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1714.24</v>
      </c>
      <c r="C77" s="263">
        <f t="shared" ref="C77:AF77" si="14">C38+C42+C60+C56+C72+C76</f>
        <v>1702.1399999999999</v>
      </c>
      <c r="D77" s="263">
        <f t="shared" si="14"/>
        <v>1660.94</v>
      </c>
      <c r="E77" s="263">
        <f t="shared" si="14"/>
        <v>1633.94</v>
      </c>
      <c r="F77" s="263">
        <f t="shared" si="14"/>
        <v>1623.34</v>
      </c>
      <c r="G77" s="263">
        <f t="shared" si="14"/>
        <v>1600.1399999999999</v>
      </c>
      <c r="H77" s="263">
        <f t="shared" si="14"/>
        <v>1603.54</v>
      </c>
      <c r="I77" s="263">
        <f t="shared" si="14"/>
        <v>1556.6399999999999</v>
      </c>
      <c r="J77" s="263">
        <f t="shared" si="14"/>
        <v>1599.04</v>
      </c>
      <c r="K77" s="263">
        <f t="shared" si="14"/>
        <v>1660.74</v>
      </c>
      <c r="L77" s="263">
        <f t="shared" si="14"/>
        <v>1692.34</v>
      </c>
      <c r="M77" s="263">
        <f t="shared" si="14"/>
        <v>1727.94</v>
      </c>
      <c r="N77" s="263">
        <f t="shared" si="14"/>
        <v>1718.3400000000001</v>
      </c>
      <c r="O77" s="263">
        <f t="shared" si="14"/>
        <v>1748.6399999999999</v>
      </c>
      <c r="P77" s="263">
        <f t="shared" si="14"/>
        <v>1712.04</v>
      </c>
      <c r="Q77" s="263">
        <f t="shared" si="14"/>
        <v>1706.84</v>
      </c>
      <c r="R77" s="263">
        <f t="shared" si="14"/>
        <v>1688.74</v>
      </c>
      <c r="S77" s="263">
        <f t="shared" si="14"/>
        <v>1633.6399999999999</v>
      </c>
      <c r="T77" s="263">
        <f t="shared" si="14"/>
        <v>1653.54</v>
      </c>
      <c r="U77" s="263">
        <f t="shared" si="14"/>
        <v>1653.54</v>
      </c>
      <c r="V77" s="263">
        <f t="shared" si="14"/>
        <v>1645.54</v>
      </c>
      <c r="W77" s="263">
        <f t="shared" si="14"/>
        <v>1651.54</v>
      </c>
      <c r="X77" s="263">
        <f t="shared" si="14"/>
        <v>1698.4399999999998</v>
      </c>
      <c r="Y77" s="263">
        <f t="shared" si="14"/>
        <v>1773.84</v>
      </c>
      <c r="Z77" s="263">
        <f t="shared" ref="Z77" si="15">SUM(Z38,Z42,Z56,Z60,Z72,Z76)</f>
        <v>1779.44</v>
      </c>
      <c r="AA77" s="263">
        <f t="shared" si="14"/>
        <v>1760.34</v>
      </c>
      <c r="AB77" s="263">
        <f t="shared" si="14"/>
        <v>1765.34</v>
      </c>
      <c r="AC77" s="263">
        <f t="shared" si="14"/>
        <v>1726.6399999999999</v>
      </c>
      <c r="AD77" s="263">
        <f t="shared" si="14"/>
        <v>1726.6399999999999</v>
      </c>
      <c r="AE77" s="263">
        <f t="shared" si="14"/>
        <v>1676.2399999999998</v>
      </c>
      <c r="AF77" s="263">
        <f t="shared" si="14"/>
        <v>1656.9399999999998</v>
      </c>
      <c r="AG77" s="242">
        <f>AG38+AG42+AG60+AG56+AG72+AG76</f>
        <v>1855.1900000000003</v>
      </c>
      <c r="AH77" s="226">
        <f t="shared" si="2"/>
        <v>1779.44</v>
      </c>
      <c r="AI77" s="227">
        <f t="shared" si="3"/>
        <v>1556.6399999999999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1714.24</v>
      </c>
      <c r="C79" s="263">
        <f t="shared" ref="C79:AF79" si="16">C77+C78</f>
        <v>1702.1399999999999</v>
      </c>
      <c r="D79" s="263">
        <f t="shared" si="16"/>
        <v>1660.94</v>
      </c>
      <c r="E79" s="263">
        <f t="shared" si="16"/>
        <v>1633.94</v>
      </c>
      <c r="F79" s="263">
        <f t="shared" si="16"/>
        <v>1623.34</v>
      </c>
      <c r="G79" s="263">
        <f t="shared" si="16"/>
        <v>1600.1399999999999</v>
      </c>
      <c r="H79" s="263">
        <f t="shared" si="16"/>
        <v>1603.54</v>
      </c>
      <c r="I79" s="263">
        <f t="shared" si="16"/>
        <v>1556.6399999999999</v>
      </c>
      <c r="J79" s="263">
        <f t="shared" si="16"/>
        <v>1599.04</v>
      </c>
      <c r="K79" s="263">
        <f t="shared" si="16"/>
        <v>1660.74</v>
      </c>
      <c r="L79" s="263">
        <f t="shared" si="16"/>
        <v>1692.34</v>
      </c>
      <c r="M79" s="263">
        <f t="shared" si="16"/>
        <v>1727.94</v>
      </c>
      <c r="N79" s="263">
        <f t="shared" si="16"/>
        <v>1718.3400000000001</v>
      </c>
      <c r="O79" s="263">
        <f t="shared" si="16"/>
        <v>1748.6399999999999</v>
      </c>
      <c r="P79" s="263">
        <f t="shared" si="16"/>
        <v>1712.04</v>
      </c>
      <c r="Q79" s="263">
        <f t="shared" si="16"/>
        <v>1706.84</v>
      </c>
      <c r="R79" s="263">
        <f t="shared" si="16"/>
        <v>1688.74</v>
      </c>
      <c r="S79" s="263">
        <f t="shared" si="16"/>
        <v>1633.6399999999999</v>
      </c>
      <c r="T79" s="263">
        <f t="shared" si="16"/>
        <v>1653.54</v>
      </c>
      <c r="U79" s="263">
        <f t="shared" si="16"/>
        <v>1653.54</v>
      </c>
      <c r="V79" s="263">
        <f t="shared" si="16"/>
        <v>1645.54</v>
      </c>
      <c r="W79" s="263">
        <f t="shared" si="16"/>
        <v>1651.54</v>
      </c>
      <c r="X79" s="263">
        <f t="shared" si="16"/>
        <v>1698.4399999999998</v>
      </c>
      <c r="Y79" s="263">
        <f t="shared" si="16"/>
        <v>1773.84</v>
      </c>
      <c r="Z79" s="263">
        <f t="shared" ref="Z79" si="17">SUM(Z77+Z78)</f>
        <v>1779.44</v>
      </c>
      <c r="AA79" s="263">
        <f t="shared" si="16"/>
        <v>1760.34</v>
      </c>
      <c r="AB79" s="263">
        <f t="shared" si="16"/>
        <v>1765.34</v>
      </c>
      <c r="AC79" s="263">
        <f t="shared" si="16"/>
        <v>1726.6399999999999</v>
      </c>
      <c r="AD79" s="263">
        <f t="shared" si="16"/>
        <v>1726.6399999999999</v>
      </c>
      <c r="AE79" s="263">
        <f t="shared" si="16"/>
        <v>1676.2399999999998</v>
      </c>
      <c r="AF79" s="263">
        <f t="shared" si="16"/>
        <v>1656.9399999999998</v>
      </c>
      <c r="AG79" s="261">
        <f>AG76+AG72+AG60+AG56+AG38+AG78</f>
        <v>1317.0900000000001</v>
      </c>
      <c r="AH79" s="226">
        <f t="shared" si="2"/>
        <v>1779.44</v>
      </c>
      <c r="AI79" s="227">
        <f t="shared" si="3"/>
        <v>1556.6399999999999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8">B79-B87</f>
        <v>1297.24</v>
      </c>
      <c r="C80" s="263">
        <f t="shared" si="18"/>
        <v>1292.1399999999999</v>
      </c>
      <c r="D80" s="263">
        <f t="shared" si="18"/>
        <v>1233.94</v>
      </c>
      <c r="E80" s="263">
        <f t="shared" si="18"/>
        <v>1200.94</v>
      </c>
      <c r="F80" s="263">
        <f t="shared" si="18"/>
        <v>1193.3399999999999</v>
      </c>
      <c r="G80" s="263">
        <f t="shared" si="18"/>
        <v>1165.1399999999999</v>
      </c>
      <c r="H80" s="263">
        <f t="shared" si="18"/>
        <v>1176.54</v>
      </c>
      <c r="I80" s="263">
        <f t="shared" si="18"/>
        <v>1119.6399999999999</v>
      </c>
      <c r="J80" s="263">
        <f t="shared" si="18"/>
        <v>1174.6399999999999</v>
      </c>
      <c r="K80" s="263">
        <f t="shared" si="18"/>
        <v>1253.44</v>
      </c>
      <c r="L80" s="263">
        <f t="shared" si="18"/>
        <v>1306.3399999999999</v>
      </c>
      <c r="M80" s="263">
        <f t="shared" si="18"/>
        <v>1343.94</v>
      </c>
      <c r="N80" s="263">
        <f t="shared" si="18"/>
        <v>1323.7400000000002</v>
      </c>
      <c r="O80" s="263">
        <f t="shared" si="18"/>
        <v>1339.6399999999999</v>
      </c>
      <c r="P80" s="263">
        <f t="shared" si="18"/>
        <v>1272.1399999999999</v>
      </c>
      <c r="Q80" s="263">
        <f t="shared" si="18"/>
        <v>1311.7399999999998</v>
      </c>
      <c r="R80" s="263">
        <f t="shared" si="18"/>
        <v>1303.74</v>
      </c>
      <c r="S80" s="263">
        <f t="shared" si="18"/>
        <v>1293.6399999999999</v>
      </c>
      <c r="T80" s="263">
        <f t="shared" si="18"/>
        <v>1291.54</v>
      </c>
      <c r="U80" s="263">
        <f t="shared" si="18"/>
        <v>1303.54</v>
      </c>
      <c r="V80" s="263">
        <f t="shared" si="18"/>
        <v>1395.54</v>
      </c>
      <c r="W80" s="263">
        <f t="shared" si="18"/>
        <v>1385.54</v>
      </c>
      <c r="X80" s="263">
        <f t="shared" si="18"/>
        <v>1408.7399999999998</v>
      </c>
      <c r="Y80" s="263">
        <f t="shared" si="18"/>
        <v>1498.84</v>
      </c>
      <c r="Z80" s="263">
        <f t="shared" si="18"/>
        <v>1538.44</v>
      </c>
      <c r="AA80" s="263">
        <f t="shared" si="18"/>
        <v>1494.34</v>
      </c>
      <c r="AB80" s="263">
        <f t="shared" si="18"/>
        <v>1419.34</v>
      </c>
      <c r="AC80" s="263">
        <f t="shared" si="18"/>
        <v>1389.6399999999999</v>
      </c>
      <c r="AD80" s="263">
        <f t="shared" si="18"/>
        <v>1366.6399999999999</v>
      </c>
      <c r="AE80" s="263">
        <f t="shared" si="18"/>
        <v>1258.2399999999998</v>
      </c>
      <c r="AF80" s="263">
        <f t="shared" si="18"/>
        <v>1212.9399999999998</v>
      </c>
      <c r="AG80" s="261"/>
      <c r="AH80" s="226">
        <f t="shared" ref="AH80:AH97" si="19">MAX(B80:AF80)</f>
        <v>1538.44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20">IF(C64&lt;0,C64*-1,0)</f>
        <v>0</v>
      </c>
      <c r="D81" s="256">
        <f t="shared" si="20"/>
        <v>0</v>
      </c>
      <c r="E81" s="256">
        <f t="shared" si="20"/>
        <v>0</v>
      </c>
      <c r="F81" s="256">
        <f t="shared" si="20"/>
        <v>0</v>
      </c>
      <c r="G81" s="256">
        <f t="shared" si="20"/>
        <v>0</v>
      </c>
      <c r="H81" s="256">
        <f t="shared" si="20"/>
        <v>0</v>
      </c>
      <c r="I81" s="256">
        <f t="shared" si="20"/>
        <v>0</v>
      </c>
      <c r="J81" s="256">
        <f t="shared" si="20"/>
        <v>0</v>
      </c>
      <c r="K81" s="256">
        <f t="shared" si="20"/>
        <v>0</v>
      </c>
      <c r="L81" s="256">
        <f t="shared" si="20"/>
        <v>0</v>
      </c>
      <c r="M81" s="256">
        <f t="shared" si="20"/>
        <v>0</v>
      </c>
      <c r="N81" s="256">
        <f t="shared" si="20"/>
        <v>0</v>
      </c>
      <c r="O81" s="256">
        <f t="shared" si="20"/>
        <v>0</v>
      </c>
      <c r="P81" s="256">
        <f t="shared" si="20"/>
        <v>0</v>
      </c>
      <c r="Q81" s="256">
        <f t="shared" si="20"/>
        <v>0</v>
      </c>
      <c r="R81" s="256">
        <f t="shared" si="20"/>
        <v>0</v>
      </c>
      <c r="S81" s="256">
        <f t="shared" si="20"/>
        <v>0</v>
      </c>
      <c r="T81" s="256">
        <f t="shared" si="20"/>
        <v>0</v>
      </c>
      <c r="U81" s="256">
        <f t="shared" si="20"/>
        <v>0</v>
      </c>
      <c r="V81" s="256">
        <f t="shared" si="20"/>
        <v>0</v>
      </c>
      <c r="W81" s="256">
        <f t="shared" si="20"/>
        <v>0</v>
      </c>
      <c r="X81" s="256">
        <f t="shared" si="20"/>
        <v>0</v>
      </c>
      <c r="Y81" s="256">
        <f t="shared" si="20"/>
        <v>0</v>
      </c>
      <c r="Z81" s="256">
        <f t="shared" ref="Z81" si="21">IF(Z64&lt;0,-Z64,0)</f>
        <v>0</v>
      </c>
      <c r="AA81" s="256">
        <f t="shared" si="20"/>
        <v>0</v>
      </c>
      <c r="AB81" s="256">
        <f t="shared" si="20"/>
        <v>0</v>
      </c>
      <c r="AC81" s="256">
        <f t="shared" si="20"/>
        <v>0</v>
      </c>
      <c r="AD81" s="256">
        <f t="shared" si="20"/>
        <v>0</v>
      </c>
      <c r="AE81" s="256">
        <f t="shared" si="20"/>
        <v>0</v>
      </c>
      <c r="AF81" s="256">
        <f t="shared" si="20"/>
        <v>0</v>
      </c>
      <c r="AG81" s="230"/>
      <c r="AH81" s="226">
        <f t="shared" si="19"/>
        <v>0</v>
      </c>
      <c r="AI81" s="227">
        <f t="shared" ref="AI81:AI97" si="22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23">IF(C62&lt;0,C62*-1,0)</f>
        <v>0</v>
      </c>
      <c r="D82" s="256">
        <f t="shared" si="23"/>
        <v>0</v>
      </c>
      <c r="E82" s="256">
        <f t="shared" si="23"/>
        <v>0</v>
      </c>
      <c r="F82" s="256">
        <f t="shared" si="23"/>
        <v>0</v>
      </c>
      <c r="G82" s="256">
        <f t="shared" si="23"/>
        <v>0</v>
      </c>
      <c r="H82" s="256">
        <f t="shared" si="23"/>
        <v>0</v>
      </c>
      <c r="I82" s="256">
        <f t="shared" si="23"/>
        <v>0</v>
      </c>
      <c r="J82" s="256">
        <f t="shared" si="23"/>
        <v>0</v>
      </c>
      <c r="K82" s="256">
        <f t="shared" si="23"/>
        <v>0</v>
      </c>
      <c r="L82" s="256">
        <f t="shared" si="23"/>
        <v>0</v>
      </c>
      <c r="M82" s="256">
        <f t="shared" si="23"/>
        <v>0</v>
      </c>
      <c r="N82" s="256">
        <f t="shared" si="23"/>
        <v>0</v>
      </c>
      <c r="O82" s="256">
        <f t="shared" si="23"/>
        <v>0</v>
      </c>
      <c r="P82" s="256">
        <f t="shared" si="23"/>
        <v>0</v>
      </c>
      <c r="Q82" s="256">
        <f t="shared" si="23"/>
        <v>0</v>
      </c>
      <c r="R82" s="256">
        <f t="shared" si="23"/>
        <v>0</v>
      </c>
      <c r="S82" s="256">
        <f t="shared" si="23"/>
        <v>0</v>
      </c>
      <c r="T82" s="256">
        <f t="shared" si="23"/>
        <v>0</v>
      </c>
      <c r="U82" s="256">
        <f t="shared" si="23"/>
        <v>0</v>
      </c>
      <c r="V82" s="256">
        <f t="shared" si="23"/>
        <v>0</v>
      </c>
      <c r="W82" s="256">
        <f t="shared" si="23"/>
        <v>0</v>
      </c>
      <c r="X82" s="256">
        <f t="shared" si="23"/>
        <v>0</v>
      </c>
      <c r="Y82" s="256">
        <f t="shared" si="23"/>
        <v>0</v>
      </c>
      <c r="Z82" s="256">
        <f t="shared" ref="Z82" si="24">IF(Z62&lt;0,-Z62,0)</f>
        <v>0</v>
      </c>
      <c r="AA82" s="256">
        <f t="shared" si="23"/>
        <v>0</v>
      </c>
      <c r="AB82" s="256">
        <f t="shared" si="23"/>
        <v>0</v>
      </c>
      <c r="AC82" s="256">
        <f t="shared" si="23"/>
        <v>0</v>
      </c>
      <c r="AD82" s="256">
        <f t="shared" si="23"/>
        <v>0</v>
      </c>
      <c r="AE82" s="256">
        <f t="shared" si="23"/>
        <v>0</v>
      </c>
      <c r="AF82" s="256">
        <f t="shared" si="23"/>
        <v>0</v>
      </c>
      <c r="AG82" s="235"/>
      <c r="AH82" s="226">
        <f t="shared" si="19"/>
        <v>0</v>
      </c>
      <c r="AI82" s="227">
        <f t="shared" si="22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25">IF(C65&lt;0,C65*-1,0)</f>
        <v>0</v>
      </c>
      <c r="D83" s="256">
        <f t="shared" si="25"/>
        <v>0</v>
      </c>
      <c r="E83" s="256">
        <f t="shared" si="25"/>
        <v>0</v>
      </c>
      <c r="F83" s="256">
        <f t="shared" si="25"/>
        <v>0</v>
      </c>
      <c r="G83" s="256">
        <f t="shared" si="25"/>
        <v>0</v>
      </c>
      <c r="H83" s="256">
        <f t="shared" si="25"/>
        <v>0</v>
      </c>
      <c r="I83" s="256">
        <f t="shared" si="25"/>
        <v>0</v>
      </c>
      <c r="J83" s="256">
        <f t="shared" si="25"/>
        <v>0</v>
      </c>
      <c r="K83" s="256">
        <f t="shared" si="25"/>
        <v>0</v>
      </c>
      <c r="L83" s="256">
        <f t="shared" si="25"/>
        <v>0</v>
      </c>
      <c r="M83" s="256">
        <f t="shared" si="25"/>
        <v>0</v>
      </c>
      <c r="N83" s="256">
        <f t="shared" si="25"/>
        <v>0</v>
      </c>
      <c r="O83" s="256">
        <f t="shared" si="25"/>
        <v>0</v>
      </c>
      <c r="P83" s="256">
        <f t="shared" si="25"/>
        <v>0</v>
      </c>
      <c r="Q83" s="256">
        <f t="shared" si="25"/>
        <v>0</v>
      </c>
      <c r="R83" s="256">
        <f t="shared" si="25"/>
        <v>0</v>
      </c>
      <c r="S83" s="256">
        <f t="shared" si="25"/>
        <v>0</v>
      </c>
      <c r="T83" s="256">
        <f t="shared" si="25"/>
        <v>0</v>
      </c>
      <c r="U83" s="256">
        <f t="shared" si="25"/>
        <v>0</v>
      </c>
      <c r="V83" s="256">
        <f t="shared" si="25"/>
        <v>0</v>
      </c>
      <c r="W83" s="256">
        <f t="shared" si="25"/>
        <v>0</v>
      </c>
      <c r="X83" s="256">
        <f t="shared" si="25"/>
        <v>0</v>
      </c>
      <c r="Y83" s="256">
        <f t="shared" si="25"/>
        <v>0</v>
      </c>
      <c r="Z83" s="256">
        <f t="shared" ref="Z83" si="26">IF(Z65&lt;0,-Z65,0)</f>
        <v>0</v>
      </c>
      <c r="AA83" s="256">
        <f t="shared" si="25"/>
        <v>0</v>
      </c>
      <c r="AB83" s="256">
        <f t="shared" si="25"/>
        <v>0</v>
      </c>
      <c r="AC83" s="256">
        <f t="shared" si="25"/>
        <v>0</v>
      </c>
      <c r="AD83" s="256">
        <f t="shared" si="25"/>
        <v>0</v>
      </c>
      <c r="AE83" s="256">
        <f t="shared" si="25"/>
        <v>0</v>
      </c>
      <c r="AF83" s="256">
        <f t="shared" si="25"/>
        <v>0</v>
      </c>
      <c r="AG83" s="266"/>
      <c r="AH83" s="226">
        <f t="shared" si="19"/>
        <v>0</v>
      </c>
      <c r="AI83" s="227">
        <f t="shared" si="22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417</v>
      </c>
      <c r="C84" s="256">
        <f t="shared" ref="C84:AF84" si="27">IF(C63&lt;0,C63*-1,0)</f>
        <v>410</v>
      </c>
      <c r="D84" s="256">
        <f t="shared" si="27"/>
        <v>427</v>
      </c>
      <c r="E84" s="256">
        <f t="shared" si="27"/>
        <v>433</v>
      </c>
      <c r="F84" s="256">
        <f t="shared" si="27"/>
        <v>430</v>
      </c>
      <c r="G84" s="256">
        <f t="shared" si="27"/>
        <v>435</v>
      </c>
      <c r="H84" s="256">
        <f t="shared" si="27"/>
        <v>427</v>
      </c>
      <c r="I84" s="256">
        <f t="shared" si="27"/>
        <v>437</v>
      </c>
      <c r="J84" s="256">
        <f t="shared" si="27"/>
        <v>424.4</v>
      </c>
      <c r="K84" s="256">
        <f t="shared" si="27"/>
        <v>407.3</v>
      </c>
      <c r="L84" s="256">
        <f t="shared" si="27"/>
        <v>386</v>
      </c>
      <c r="M84" s="256">
        <f t="shared" si="27"/>
        <v>384</v>
      </c>
      <c r="N84" s="256">
        <f t="shared" si="27"/>
        <v>394.6</v>
      </c>
      <c r="O84" s="256">
        <f t="shared" si="27"/>
        <v>409</v>
      </c>
      <c r="P84" s="256">
        <f t="shared" si="27"/>
        <v>439.9</v>
      </c>
      <c r="Q84" s="256">
        <f t="shared" si="27"/>
        <v>395.1</v>
      </c>
      <c r="R84" s="256">
        <f t="shared" si="27"/>
        <v>385</v>
      </c>
      <c r="S84" s="256">
        <f t="shared" si="27"/>
        <v>340</v>
      </c>
      <c r="T84" s="256">
        <f t="shared" si="27"/>
        <v>362</v>
      </c>
      <c r="U84" s="256">
        <f t="shared" si="27"/>
        <v>350</v>
      </c>
      <c r="V84" s="256">
        <f t="shared" si="27"/>
        <v>250</v>
      </c>
      <c r="W84" s="256">
        <f t="shared" si="27"/>
        <v>266</v>
      </c>
      <c r="X84" s="256">
        <f t="shared" si="27"/>
        <v>289.7</v>
      </c>
      <c r="Y84" s="256">
        <f t="shared" si="27"/>
        <v>275</v>
      </c>
      <c r="Z84" s="256">
        <f t="shared" ref="Z84" si="28">IF(Z63&lt;0,-Z63,0)</f>
        <v>241</v>
      </c>
      <c r="AA84" s="256">
        <f t="shared" si="27"/>
        <v>266</v>
      </c>
      <c r="AB84" s="256">
        <f t="shared" si="27"/>
        <v>346</v>
      </c>
      <c r="AC84" s="256">
        <f t="shared" si="27"/>
        <v>337</v>
      </c>
      <c r="AD84" s="256">
        <f t="shared" si="27"/>
        <v>360</v>
      </c>
      <c r="AE84" s="256">
        <f t="shared" si="27"/>
        <v>418</v>
      </c>
      <c r="AF84" s="256">
        <f t="shared" si="27"/>
        <v>444</v>
      </c>
      <c r="AG84" s="266"/>
      <c r="AH84" s="226">
        <f t="shared" si="19"/>
        <v>444</v>
      </c>
      <c r="AI84" s="227">
        <f t="shared" si="22"/>
        <v>241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9">IF(C61&lt;0,C61*-1,0)</f>
        <v>0</v>
      </c>
      <c r="D85" s="256">
        <f t="shared" si="29"/>
        <v>0</v>
      </c>
      <c r="E85" s="256">
        <f t="shared" si="29"/>
        <v>0</v>
      </c>
      <c r="F85" s="256">
        <f t="shared" si="29"/>
        <v>0</v>
      </c>
      <c r="G85" s="256">
        <f t="shared" si="29"/>
        <v>0</v>
      </c>
      <c r="H85" s="256">
        <f t="shared" si="29"/>
        <v>0</v>
      </c>
      <c r="I85" s="256">
        <f t="shared" si="29"/>
        <v>0</v>
      </c>
      <c r="J85" s="256">
        <f t="shared" si="29"/>
        <v>0</v>
      </c>
      <c r="K85" s="256">
        <f t="shared" si="29"/>
        <v>0</v>
      </c>
      <c r="L85" s="256">
        <f t="shared" si="29"/>
        <v>0</v>
      </c>
      <c r="M85" s="256">
        <f t="shared" si="29"/>
        <v>0</v>
      </c>
      <c r="N85" s="256">
        <f t="shared" si="29"/>
        <v>0</v>
      </c>
      <c r="O85" s="256">
        <f t="shared" si="29"/>
        <v>0</v>
      </c>
      <c r="P85" s="256">
        <f t="shared" si="29"/>
        <v>0</v>
      </c>
      <c r="Q85" s="256">
        <f t="shared" si="29"/>
        <v>0</v>
      </c>
      <c r="R85" s="256">
        <f t="shared" si="29"/>
        <v>0</v>
      </c>
      <c r="S85" s="256">
        <f t="shared" si="29"/>
        <v>0</v>
      </c>
      <c r="T85" s="256">
        <f t="shared" si="29"/>
        <v>0</v>
      </c>
      <c r="U85" s="256">
        <f t="shared" si="29"/>
        <v>0</v>
      </c>
      <c r="V85" s="256">
        <f t="shared" si="29"/>
        <v>0</v>
      </c>
      <c r="W85" s="256">
        <f t="shared" si="29"/>
        <v>0</v>
      </c>
      <c r="X85" s="256">
        <f t="shared" si="29"/>
        <v>0</v>
      </c>
      <c r="Y85" s="256">
        <f t="shared" si="29"/>
        <v>0</v>
      </c>
      <c r="Z85" s="256">
        <f t="shared" ref="Z85" si="30">IF(Z67&lt;0,-Z67,0)</f>
        <v>0</v>
      </c>
      <c r="AA85" s="256">
        <f t="shared" si="29"/>
        <v>0</v>
      </c>
      <c r="AB85" s="256">
        <f t="shared" si="29"/>
        <v>0</v>
      </c>
      <c r="AC85" s="256">
        <f t="shared" si="29"/>
        <v>0</v>
      </c>
      <c r="AD85" s="256">
        <f t="shared" si="29"/>
        <v>0</v>
      </c>
      <c r="AE85" s="256">
        <f t="shared" si="29"/>
        <v>0</v>
      </c>
      <c r="AF85" s="256">
        <f t="shared" si="29"/>
        <v>0</v>
      </c>
      <c r="AG85" s="266"/>
      <c r="AH85" s="226">
        <f t="shared" si="19"/>
        <v>0</v>
      </c>
      <c r="AI85" s="227">
        <f t="shared" si="22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9"/>
        <v>0</v>
      </c>
      <c r="AI86" s="227">
        <f t="shared" si="22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417</v>
      </c>
      <c r="C87" s="241">
        <f t="shared" ref="C87:AF87" si="31">SUM(C81:C86)</f>
        <v>410</v>
      </c>
      <c r="D87" s="241">
        <f t="shared" si="31"/>
        <v>427</v>
      </c>
      <c r="E87" s="241">
        <f t="shared" si="31"/>
        <v>433</v>
      </c>
      <c r="F87" s="241">
        <f t="shared" si="31"/>
        <v>430</v>
      </c>
      <c r="G87" s="241">
        <f t="shared" si="31"/>
        <v>435</v>
      </c>
      <c r="H87" s="241">
        <f t="shared" si="31"/>
        <v>427</v>
      </c>
      <c r="I87" s="241">
        <f t="shared" si="31"/>
        <v>437</v>
      </c>
      <c r="J87" s="241">
        <f t="shared" si="31"/>
        <v>424.4</v>
      </c>
      <c r="K87" s="241">
        <f t="shared" si="31"/>
        <v>407.3</v>
      </c>
      <c r="L87" s="241">
        <f t="shared" si="31"/>
        <v>386</v>
      </c>
      <c r="M87" s="241">
        <f t="shared" si="31"/>
        <v>384</v>
      </c>
      <c r="N87" s="241">
        <f t="shared" si="31"/>
        <v>394.6</v>
      </c>
      <c r="O87" s="241">
        <f t="shared" si="31"/>
        <v>409</v>
      </c>
      <c r="P87" s="241">
        <f t="shared" si="31"/>
        <v>439.9</v>
      </c>
      <c r="Q87" s="241">
        <f t="shared" si="31"/>
        <v>395.1</v>
      </c>
      <c r="R87" s="241">
        <f t="shared" si="31"/>
        <v>385</v>
      </c>
      <c r="S87" s="241">
        <f t="shared" si="31"/>
        <v>340</v>
      </c>
      <c r="T87" s="241">
        <f t="shared" si="31"/>
        <v>362</v>
      </c>
      <c r="U87" s="241">
        <f t="shared" si="31"/>
        <v>350</v>
      </c>
      <c r="V87" s="241">
        <f t="shared" si="31"/>
        <v>250</v>
      </c>
      <c r="W87" s="241">
        <f t="shared" si="31"/>
        <v>266</v>
      </c>
      <c r="X87" s="241">
        <f t="shared" si="31"/>
        <v>289.7</v>
      </c>
      <c r="Y87" s="241">
        <f t="shared" si="31"/>
        <v>275</v>
      </c>
      <c r="Z87" s="241">
        <f t="shared" si="31"/>
        <v>241</v>
      </c>
      <c r="AA87" s="241">
        <f t="shared" si="31"/>
        <v>266</v>
      </c>
      <c r="AB87" s="241">
        <f t="shared" si="31"/>
        <v>346</v>
      </c>
      <c r="AC87" s="241">
        <f t="shared" si="31"/>
        <v>337</v>
      </c>
      <c r="AD87" s="241">
        <f t="shared" si="31"/>
        <v>360</v>
      </c>
      <c r="AE87" s="241">
        <f t="shared" si="31"/>
        <v>418</v>
      </c>
      <c r="AF87" s="241">
        <f t="shared" si="31"/>
        <v>444</v>
      </c>
      <c r="AG87" s="261"/>
      <c r="AH87" s="226">
        <f t="shared" si="19"/>
        <v>444</v>
      </c>
      <c r="AI87" s="227">
        <f t="shared" si="22"/>
        <v>241</v>
      </c>
      <c r="AK87" s="228"/>
    </row>
    <row r="88" spans="1:88" s="175" customFormat="1" ht="15.75" thickBot="1" x14ac:dyDescent="0.3">
      <c r="A88" s="254" t="s">
        <v>93</v>
      </c>
      <c r="B88" s="241">
        <f>B72-B87</f>
        <v>-413</v>
      </c>
      <c r="C88" s="241">
        <f t="shared" ref="C88:AF88" si="32">C72-C87</f>
        <v>-410</v>
      </c>
      <c r="D88" s="241">
        <f t="shared" si="32"/>
        <v>-427</v>
      </c>
      <c r="E88" s="241">
        <f t="shared" si="32"/>
        <v>-433</v>
      </c>
      <c r="F88" s="241">
        <f t="shared" si="32"/>
        <v>-430</v>
      </c>
      <c r="G88" s="241">
        <f t="shared" si="32"/>
        <v>-435</v>
      </c>
      <c r="H88" s="241">
        <f t="shared" si="32"/>
        <v>-427</v>
      </c>
      <c r="I88" s="241">
        <f t="shared" si="32"/>
        <v>-437</v>
      </c>
      <c r="J88" s="241">
        <f t="shared" si="32"/>
        <v>-424.4</v>
      </c>
      <c r="K88" s="241">
        <f t="shared" si="32"/>
        <v>-407.3</v>
      </c>
      <c r="L88" s="241">
        <f t="shared" si="32"/>
        <v>-386</v>
      </c>
      <c r="M88" s="241">
        <f t="shared" si="32"/>
        <v>-384</v>
      </c>
      <c r="N88" s="241">
        <f t="shared" si="32"/>
        <v>-394.6</v>
      </c>
      <c r="O88" s="241">
        <f t="shared" si="32"/>
        <v>-409</v>
      </c>
      <c r="P88" s="241">
        <f t="shared" si="32"/>
        <v>-439.9</v>
      </c>
      <c r="Q88" s="241">
        <f t="shared" si="32"/>
        <v>-395.1</v>
      </c>
      <c r="R88" s="241">
        <f t="shared" si="32"/>
        <v>-385</v>
      </c>
      <c r="S88" s="241">
        <f t="shared" si="32"/>
        <v>-340</v>
      </c>
      <c r="T88" s="241">
        <f t="shared" si="32"/>
        <v>-362</v>
      </c>
      <c r="U88" s="241">
        <f t="shared" si="32"/>
        <v>-350</v>
      </c>
      <c r="V88" s="241">
        <f t="shared" si="32"/>
        <v>-250</v>
      </c>
      <c r="W88" s="241">
        <f t="shared" si="32"/>
        <v>-260</v>
      </c>
      <c r="X88" s="241">
        <f t="shared" si="32"/>
        <v>-289.7</v>
      </c>
      <c r="Y88" s="241">
        <f t="shared" si="32"/>
        <v>-275</v>
      </c>
      <c r="Z88" s="241">
        <f t="shared" si="32"/>
        <v>-241</v>
      </c>
      <c r="AA88" s="241">
        <f t="shared" si="32"/>
        <v>-266</v>
      </c>
      <c r="AB88" s="241">
        <f t="shared" si="32"/>
        <v>-346</v>
      </c>
      <c r="AC88" s="241">
        <f t="shared" si="32"/>
        <v>-337</v>
      </c>
      <c r="AD88" s="241">
        <f t="shared" si="32"/>
        <v>-360</v>
      </c>
      <c r="AE88" s="241">
        <f t="shared" si="32"/>
        <v>-418</v>
      </c>
      <c r="AF88" s="241">
        <f t="shared" si="32"/>
        <v>-444</v>
      </c>
      <c r="AG88" s="261"/>
      <c r="AH88" s="226">
        <f t="shared" si="19"/>
        <v>-241</v>
      </c>
      <c r="AI88" s="227">
        <f t="shared" si="22"/>
        <v>-444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50</v>
      </c>
      <c r="C89" s="269">
        <v>49.97</v>
      </c>
      <c r="D89" s="269">
        <v>50</v>
      </c>
      <c r="E89" s="269">
        <v>49.982999999999997</v>
      </c>
      <c r="F89" s="269">
        <v>50.029000000000003</v>
      </c>
      <c r="G89" s="269">
        <v>49.987000000000002</v>
      </c>
      <c r="H89" s="269">
        <v>49.875</v>
      </c>
      <c r="I89" s="269">
        <v>49.917000000000002</v>
      </c>
      <c r="J89" s="269">
        <v>49.743000000000002</v>
      </c>
      <c r="K89" s="269">
        <v>49.963000000000001</v>
      </c>
      <c r="L89" s="269">
        <v>49.947000000000003</v>
      </c>
      <c r="M89" s="269">
        <v>50</v>
      </c>
      <c r="N89" s="269">
        <v>49.923999999999999</v>
      </c>
      <c r="O89" s="269">
        <v>49.981999999999999</v>
      </c>
      <c r="P89" s="269">
        <v>50.064999999999998</v>
      </c>
      <c r="Q89" s="269">
        <v>49.997</v>
      </c>
      <c r="R89" s="269">
        <v>49.997</v>
      </c>
      <c r="S89" s="269">
        <v>49.997</v>
      </c>
      <c r="T89" s="269">
        <v>50</v>
      </c>
      <c r="U89" s="269">
        <v>50.015999999999998</v>
      </c>
      <c r="V89" s="269">
        <v>49.904000000000003</v>
      </c>
      <c r="W89" s="269">
        <v>49.904000000000003</v>
      </c>
      <c r="X89" s="269">
        <v>49.77</v>
      </c>
      <c r="Y89" s="269">
        <v>49.82</v>
      </c>
      <c r="Z89" s="269">
        <v>50.02</v>
      </c>
      <c r="AA89" s="269">
        <v>50.02</v>
      </c>
      <c r="AB89" s="269">
        <v>50.06</v>
      </c>
      <c r="AC89" s="269">
        <v>50.054000000000002</v>
      </c>
      <c r="AD89" s="269">
        <v>50.045999999999999</v>
      </c>
      <c r="AE89" s="269">
        <v>50.024999999999999</v>
      </c>
      <c r="AF89" s="269">
        <v>50</v>
      </c>
      <c r="AG89" s="270"/>
      <c r="AH89" s="226">
        <f t="shared" si="19"/>
        <v>50.064999999999998</v>
      </c>
      <c r="AI89" s="227">
        <f t="shared" si="22"/>
        <v>49.743000000000002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126</v>
      </c>
      <c r="C90" s="245">
        <v>126</v>
      </c>
      <c r="D90" s="245">
        <v>127</v>
      </c>
      <c r="E90" s="245">
        <v>126.8</v>
      </c>
      <c r="F90" s="245">
        <v>126.4</v>
      </c>
      <c r="G90" s="245">
        <v>127.1</v>
      </c>
      <c r="H90" s="245">
        <v>126.8</v>
      </c>
      <c r="I90" s="245">
        <v>126.6</v>
      </c>
      <c r="J90" s="245">
        <v>124.6</v>
      </c>
      <c r="K90" s="245">
        <v>123.9</v>
      </c>
      <c r="L90" s="245">
        <v>122.3</v>
      </c>
      <c r="M90" s="245">
        <v>123.7</v>
      </c>
      <c r="N90" s="245">
        <v>122.9</v>
      </c>
      <c r="O90" s="245">
        <v>122.8</v>
      </c>
      <c r="P90" s="245">
        <v>123.4</v>
      </c>
      <c r="Q90" s="245">
        <v>124.2</v>
      </c>
      <c r="R90" s="245">
        <v>124.2</v>
      </c>
      <c r="S90" s="245">
        <v>124.2</v>
      </c>
      <c r="T90" s="245">
        <v>122.3</v>
      </c>
      <c r="U90" s="245">
        <v>122</v>
      </c>
      <c r="V90" s="245">
        <v>122</v>
      </c>
      <c r="W90" s="245">
        <v>122</v>
      </c>
      <c r="X90" s="245">
        <v>124.2</v>
      </c>
      <c r="Y90" s="245">
        <v>124.1</v>
      </c>
      <c r="Z90" s="245">
        <v>124.5</v>
      </c>
      <c r="AA90" s="245">
        <v>125.6</v>
      </c>
      <c r="AB90" s="245">
        <v>124.6</v>
      </c>
      <c r="AC90" s="245">
        <v>124.6</v>
      </c>
      <c r="AD90" s="245">
        <v>125.1</v>
      </c>
      <c r="AE90" s="245">
        <v>125.7</v>
      </c>
      <c r="AF90" s="245">
        <v>125</v>
      </c>
      <c r="AG90" s="272"/>
      <c r="AH90" s="226">
        <f t="shared" si="19"/>
        <v>127.1</v>
      </c>
      <c r="AI90" s="227">
        <f t="shared" si="22"/>
        <v>122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130</v>
      </c>
      <c r="C91" s="245">
        <v>130</v>
      </c>
      <c r="D91" s="245">
        <v>131</v>
      </c>
      <c r="E91" s="245">
        <v>126.8</v>
      </c>
      <c r="F91" s="245">
        <v>130.6</v>
      </c>
      <c r="G91" s="245">
        <v>131.19999999999999</v>
      </c>
      <c r="H91" s="245">
        <v>130.6</v>
      </c>
      <c r="I91" s="245">
        <v>130.19999999999999</v>
      </c>
      <c r="J91" s="245">
        <v>128.1</v>
      </c>
      <c r="K91" s="245">
        <v>127.8</v>
      </c>
      <c r="L91" s="245">
        <v>126.6</v>
      </c>
      <c r="M91" s="245">
        <v>127.3</v>
      </c>
      <c r="N91" s="245">
        <v>126.7</v>
      </c>
      <c r="O91" s="245">
        <v>126</v>
      </c>
      <c r="P91" s="245">
        <v>126.8</v>
      </c>
      <c r="Q91" s="245">
        <v>127.8</v>
      </c>
      <c r="R91" s="245">
        <v>127.8</v>
      </c>
      <c r="S91" s="245">
        <v>127.8</v>
      </c>
      <c r="T91" s="245">
        <v>126.3</v>
      </c>
      <c r="U91" s="245">
        <v>126</v>
      </c>
      <c r="V91" s="245">
        <v>126</v>
      </c>
      <c r="W91" s="245">
        <v>126</v>
      </c>
      <c r="X91" s="245">
        <v>127.9</v>
      </c>
      <c r="Y91" s="245">
        <v>127.4</v>
      </c>
      <c r="Z91" s="245">
        <v>128.4</v>
      </c>
      <c r="AA91" s="245">
        <v>128.69999999999999</v>
      </c>
      <c r="AB91" s="245">
        <v>128.69999999999999</v>
      </c>
      <c r="AC91" s="245">
        <v>128.5</v>
      </c>
      <c r="AD91" s="245">
        <v>129</v>
      </c>
      <c r="AE91" s="245">
        <v>130.19999999999999</v>
      </c>
      <c r="AF91" s="245">
        <v>130</v>
      </c>
      <c r="AG91" s="272"/>
      <c r="AH91" s="226">
        <f t="shared" si="19"/>
        <v>131.19999999999999</v>
      </c>
      <c r="AI91" s="227">
        <f t="shared" si="22"/>
        <v>126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</v>
      </c>
      <c r="C92" s="245">
        <v>130</v>
      </c>
      <c r="D92" s="245">
        <v>130</v>
      </c>
      <c r="E92" s="245">
        <v>130.69999999999999</v>
      </c>
      <c r="F92" s="245">
        <v>131.4</v>
      </c>
      <c r="G92" s="245">
        <v>131.19999999999999</v>
      </c>
      <c r="H92" s="245">
        <v>131.19999999999999</v>
      </c>
      <c r="I92" s="245">
        <v>131.19999999999999</v>
      </c>
      <c r="J92" s="245">
        <v>128.19999999999999</v>
      </c>
      <c r="K92" s="245">
        <v>129.19999999999999</v>
      </c>
      <c r="L92" s="245">
        <v>127.1</v>
      </c>
      <c r="M92" s="245">
        <v>130.9</v>
      </c>
      <c r="N92" s="245">
        <v>127.7</v>
      </c>
      <c r="O92" s="245">
        <v>130.1</v>
      </c>
      <c r="P92" s="245">
        <v>129.5</v>
      </c>
      <c r="Q92" s="245">
        <v>128.9</v>
      </c>
      <c r="R92" s="245">
        <v>128.9</v>
      </c>
      <c r="S92" s="245">
        <v>128.9</v>
      </c>
      <c r="T92" s="245">
        <v>128</v>
      </c>
      <c r="U92" s="245">
        <v>130.6</v>
      </c>
      <c r="V92" s="245">
        <v>130.6</v>
      </c>
      <c r="W92" s="245">
        <v>130.6</v>
      </c>
      <c r="X92" s="245">
        <v>128.6</v>
      </c>
      <c r="Y92" s="245">
        <v>128.5</v>
      </c>
      <c r="Z92" s="245">
        <v>127.7</v>
      </c>
      <c r="AA92" s="245">
        <v>131.6</v>
      </c>
      <c r="AB92" s="245">
        <v>128</v>
      </c>
      <c r="AC92" s="245">
        <v>127.8</v>
      </c>
      <c r="AD92" s="245">
        <v>128</v>
      </c>
      <c r="AE92" s="245">
        <v>129.30000000000001</v>
      </c>
      <c r="AF92" s="245">
        <v>130</v>
      </c>
      <c r="AG92" s="272"/>
      <c r="AH92" s="226">
        <f t="shared" si="19"/>
        <v>131.6</v>
      </c>
      <c r="AI92" s="227">
        <f t="shared" si="22"/>
        <v>127.1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134</v>
      </c>
      <c r="C93" s="245">
        <v>134</v>
      </c>
      <c r="D93" s="245">
        <v>132</v>
      </c>
      <c r="E93" s="245">
        <v>132.80000000000001</v>
      </c>
      <c r="F93" s="245">
        <v>133.30000000000001</v>
      </c>
      <c r="G93" s="245">
        <v>133.1</v>
      </c>
      <c r="H93" s="245">
        <v>133</v>
      </c>
      <c r="I93" s="245">
        <v>132.9</v>
      </c>
      <c r="J93" s="245">
        <v>130.5</v>
      </c>
      <c r="K93" s="245">
        <v>134.1</v>
      </c>
      <c r="L93" s="245">
        <v>132.4</v>
      </c>
      <c r="M93" s="245">
        <v>133.4</v>
      </c>
      <c r="N93" s="245">
        <v>131.80000000000001</v>
      </c>
      <c r="O93" s="245">
        <v>133.1</v>
      </c>
      <c r="P93" s="245">
        <v>132.30000000000001</v>
      </c>
      <c r="Q93" s="245">
        <v>132</v>
      </c>
      <c r="R93" s="245">
        <v>132</v>
      </c>
      <c r="S93" s="245">
        <v>132</v>
      </c>
      <c r="T93" s="245">
        <v>132</v>
      </c>
      <c r="U93" s="245">
        <v>132</v>
      </c>
      <c r="V93" s="245">
        <v>132</v>
      </c>
      <c r="W93" s="245">
        <v>132</v>
      </c>
      <c r="X93" s="245">
        <v>130.9</v>
      </c>
      <c r="Y93" s="245">
        <v>131.4</v>
      </c>
      <c r="Z93" s="245">
        <v>131</v>
      </c>
      <c r="AA93" s="245">
        <v>134.1</v>
      </c>
      <c r="AB93" s="245">
        <v>130.6</v>
      </c>
      <c r="AC93" s="245">
        <v>130.69999999999999</v>
      </c>
      <c r="AD93" s="245">
        <v>131</v>
      </c>
      <c r="AE93" s="245">
        <v>132.6</v>
      </c>
      <c r="AF93" s="245">
        <v>133</v>
      </c>
      <c r="AG93" s="272"/>
      <c r="AH93" s="226">
        <f t="shared" si="19"/>
        <v>134.1</v>
      </c>
      <c r="AI93" s="227">
        <f t="shared" si="22"/>
        <v>130.5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132</v>
      </c>
      <c r="C94" s="274">
        <v>132</v>
      </c>
      <c r="D94" s="274">
        <v>133</v>
      </c>
      <c r="E94" s="274">
        <v>128.69999999999999</v>
      </c>
      <c r="F94" s="274">
        <v>129.6</v>
      </c>
      <c r="G94" s="274">
        <v>133.6</v>
      </c>
      <c r="H94" s="274">
        <v>131</v>
      </c>
      <c r="I94" s="274">
        <v>132.69999999999999</v>
      </c>
      <c r="J94" s="274">
        <v>132.1</v>
      </c>
      <c r="K94" s="274">
        <v>134.9</v>
      </c>
      <c r="L94" s="274">
        <v>131.19999999999999</v>
      </c>
      <c r="M94" s="274">
        <v>129.9</v>
      </c>
      <c r="N94" s="274">
        <v>132</v>
      </c>
      <c r="O94" s="274">
        <v>132.69999999999999</v>
      </c>
      <c r="P94" s="274">
        <v>134.4</v>
      </c>
      <c r="Q94" s="274">
        <v>1344</v>
      </c>
      <c r="R94" s="274">
        <v>1344</v>
      </c>
      <c r="S94" s="274">
        <v>134</v>
      </c>
      <c r="T94" s="274">
        <v>131.30000000000001</v>
      </c>
      <c r="U94" s="274">
        <v>131.30000000000001</v>
      </c>
      <c r="V94" s="274">
        <v>131.30000000000001</v>
      </c>
      <c r="W94" s="274">
        <v>131.30000000000001</v>
      </c>
      <c r="X94" s="274">
        <v>132.6</v>
      </c>
      <c r="Y94" s="274">
        <v>133.5</v>
      </c>
      <c r="Z94" s="274">
        <v>131.69999999999999</v>
      </c>
      <c r="AA94" s="274">
        <v>132.1</v>
      </c>
      <c r="AB94" s="274">
        <v>130.69999999999999</v>
      </c>
      <c r="AC94" s="274">
        <v>130.9</v>
      </c>
      <c r="AD94" s="274">
        <v>132</v>
      </c>
      <c r="AE94" s="274">
        <v>132</v>
      </c>
      <c r="AF94" s="274">
        <v>132.4</v>
      </c>
      <c r="AG94" s="275"/>
      <c r="AH94" s="226">
        <f t="shared" si="19"/>
        <v>1344</v>
      </c>
      <c r="AI94" s="227">
        <f t="shared" si="22"/>
        <v>128.69999999999999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132</v>
      </c>
      <c r="C95" s="245">
        <v>132</v>
      </c>
      <c r="D95" s="245">
        <v>133</v>
      </c>
      <c r="E95" s="245">
        <v>128.4</v>
      </c>
      <c r="F95" s="245">
        <v>129.69999999999999</v>
      </c>
      <c r="G95" s="245">
        <v>134.9</v>
      </c>
      <c r="H95" s="245">
        <v>128.5</v>
      </c>
      <c r="I95" s="245">
        <v>132.30000000000001</v>
      </c>
      <c r="J95" s="245">
        <v>131.19999999999999</v>
      </c>
      <c r="K95" s="245">
        <v>130.9</v>
      </c>
      <c r="L95" s="245">
        <v>129.4</v>
      </c>
      <c r="M95" s="245">
        <v>129.4</v>
      </c>
      <c r="N95" s="245">
        <v>133.1</v>
      </c>
      <c r="O95" s="245">
        <v>130.6</v>
      </c>
      <c r="P95" s="245">
        <v>133.9</v>
      </c>
      <c r="Q95" s="245">
        <v>129.30000000000001</v>
      </c>
      <c r="R95" s="245">
        <v>129.30000000000001</v>
      </c>
      <c r="S95" s="245">
        <v>129.30000000000001</v>
      </c>
      <c r="T95" s="245">
        <v>131.5</v>
      </c>
      <c r="U95" s="245">
        <v>131.5</v>
      </c>
      <c r="V95" s="245">
        <v>131.5</v>
      </c>
      <c r="W95" s="245">
        <v>131.5</v>
      </c>
      <c r="X95" s="245">
        <v>131.19999999999999</v>
      </c>
      <c r="Y95" s="245">
        <v>131.19999999999999</v>
      </c>
      <c r="Z95" s="245">
        <v>124.9</v>
      </c>
      <c r="AA95" s="245">
        <v>126.2</v>
      </c>
      <c r="AB95" s="245">
        <v>129</v>
      </c>
      <c r="AC95" s="245">
        <v>127.8</v>
      </c>
      <c r="AD95" s="245">
        <v>130</v>
      </c>
      <c r="AE95" s="245">
        <v>130.4</v>
      </c>
      <c r="AF95" s="245">
        <v>133.4</v>
      </c>
      <c r="AG95" s="272"/>
      <c r="AH95" s="226">
        <f t="shared" si="19"/>
        <v>134.9</v>
      </c>
      <c r="AI95" s="227">
        <f t="shared" si="22"/>
        <v>124.9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65.900000000000006</v>
      </c>
      <c r="C96" s="276">
        <v>65.900000000000006</v>
      </c>
      <c r="D96" s="276">
        <v>66</v>
      </c>
      <c r="E96" s="276">
        <v>66</v>
      </c>
      <c r="F96" s="276">
        <v>65.900000000000006</v>
      </c>
      <c r="G96" s="276">
        <v>66.2</v>
      </c>
      <c r="H96" s="276">
        <v>65.8</v>
      </c>
      <c r="I96" s="276">
        <v>65.400000000000006</v>
      </c>
      <c r="J96" s="276">
        <v>64.3</v>
      </c>
      <c r="K96" s="276">
        <v>64.3</v>
      </c>
      <c r="L96" s="276">
        <v>63.5</v>
      </c>
      <c r="M96" s="276">
        <v>64.2</v>
      </c>
      <c r="N96" s="276">
        <v>63.8</v>
      </c>
      <c r="O96" s="276">
        <v>63.6</v>
      </c>
      <c r="P96" s="276">
        <v>63.8</v>
      </c>
      <c r="Q96" s="276">
        <v>64.2</v>
      </c>
      <c r="R96" s="276">
        <v>64.2</v>
      </c>
      <c r="S96" s="276">
        <v>64.2</v>
      </c>
      <c r="T96" s="276">
        <v>63.4</v>
      </c>
      <c r="U96" s="276">
        <v>63.4</v>
      </c>
      <c r="V96" s="276">
        <v>63.4</v>
      </c>
      <c r="W96" s="276">
        <v>63.4</v>
      </c>
      <c r="X96" s="276">
        <v>64.400000000000006</v>
      </c>
      <c r="Y96" s="276">
        <v>64.2</v>
      </c>
      <c r="Z96" s="276">
        <v>64.8</v>
      </c>
      <c r="AA96" s="276">
        <v>65.099999999999994</v>
      </c>
      <c r="AB96" s="276">
        <v>65.2</v>
      </c>
      <c r="AC96" s="276">
        <v>65.3</v>
      </c>
      <c r="AD96" s="276">
        <v>65.3</v>
      </c>
      <c r="AE96" s="276">
        <v>66</v>
      </c>
      <c r="AF96" s="276">
        <v>66</v>
      </c>
      <c r="AG96" s="277"/>
      <c r="AH96" s="226">
        <f t="shared" si="19"/>
        <v>66.2</v>
      </c>
      <c r="AI96" s="227">
        <f t="shared" si="22"/>
        <v>63.4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 t="str">
        <f t="shared" ref="Z97" si="33">IF(AC80=MAX($B$81:$G$81),"PN","")</f>
        <v/>
      </c>
      <c r="AA97" s="276"/>
      <c r="AB97" s="276"/>
      <c r="AC97" s="276"/>
      <c r="AD97" s="276"/>
      <c r="AE97" s="276"/>
      <c r="AF97" s="276"/>
      <c r="AG97" s="277"/>
      <c r="AH97" s="226">
        <f t="shared" si="19"/>
        <v>0</v>
      </c>
      <c r="AI97" s="227">
        <f t="shared" si="22"/>
        <v>0</v>
      </c>
    </row>
    <row r="98" spans="1:37" ht="15.75" thickBot="1" x14ac:dyDescent="0.3">
      <c r="A98" s="279" t="s">
        <v>102</v>
      </c>
      <c r="B98" s="280">
        <f t="shared" ref="B98:AF98" si="34">SUM(B15,B18,B21:B22,B46,B48:B49,B51,B53,B99:B103,B125,B131,B137,B146,B148,B160,B167,B170:B171,B178,B180,B182,B186:B188,B190:B192,B197,B203:B204,B206:B208,B216,B221)</f>
        <v>40.6</v>
      </c>
      <c r="C98" s="280">
        <f t="shared" si="34"/>
        <v>39.539999999999992</v>
      </c>
      <c r="D98" s="280">
        <f t="shared" si="34"/>
        <v>32.639999999999993</v>
      </c>
      <c r="E98" s="280">
        <f t="shared" si="34"/>
        <v>36.539999999999978</v>
      </c>
      <c r="F98" s="280">
        <f t="shared" si="34"/>
        <v>45.440000000000005</v>
      </c>
      <c r="G98" s="280">
        <f t="shared" si="34"/>
        <v>62.939999999999969</v>
      </c>
      <c r="H98" s="280">
        <f t="shared" si="34"/>
        <v>81.34</v>
      </c>
      <c r="I98" s="280">
        <f t="shared" si="34"/>
        <v>109.83999999999999</v>
      </c>
      <c r="J98" s="280">
        <f t="shared" si="34"/>
        <v>136.23999999999998</v>
      </c>
      <c r="K98" s="280">
        <f t="shared" si="34"/>
        <v>187.24</v>
      </c>
      <c r="L98" s="280">
        <f t="shared" si="34"/>
        <v>232.04000000000002</v>
      </c>
      <c r="M98" s="280">
        <f t="shared" si="34"/>
        <v>245.53999999999996</v>
      </c>
      <c r="N98" s="280">
        <f t="shared" si="34"/>
        <v>226.83999999999995</v>
      </c>
      <c r="O98" s="280">
        <f t="shared" si="34"/>
        <v>232.43999999999994</v>
      </c>
      <c r="P98" s="280">
        <f t="shared" si="34"/>
        <v>198.23999999999995</v>
      </c>
      <c r="Q98" s="280">
        <f t="shared" si="34"/>
        <v>217.20000000000005</v>
      </c>
      <c r="R98" s="280">
        <f t="shared" si="34"/>
        <v>217.20000000000005</v>
      </c>
      <c r="S98" s="280">
        <f t="shared" si="34"/>
        <v>247.20000000000005</v>
      </c>
      <c r="T98" s="280">
        <f t="shared" si="34"/>
        <v>210.80000000000004</v>
      </c>
      <c r="U98" s="280">
        <f t="shared" si="34"/>
        <v>215.70000000000005</v>
      </c>
      <c r="V98" s="280">
        <f t="shared" si="34"/>
        <v>215.70000000000005</v>
      </c>
      <c r="W98" s="280">
        <f t="shared" si="34"/>
        <v>215.70000000000005</v>
      </c>
      <c r="X98" s="280">
        <f t="shared" si="34"/>
        <v>247.30000000000004</v>
      </c>
      <c r="Y98" s="280">
        <f t="shared" si="34"/>
        <v>276.10000000000002</v>
      </c>
      <c r="Z98" s="280">
        <f t="shared" ref="Z98" si="35">SUM(Z142,Z99:Z102,Z12,Z16,Z22,Z28,Z29,Z46,Z48:Z49,Z51,Z53)</f>
        <v>231.20000000000002</v>
      </c>
      <c r="AA98" s="280">
        <f t="shared" si="34"/>
        <v>241.69999999999993</v>
      </c>
      <c r="AB98" s="280">
        <f t="shared" si="34"/>
        <v>201.5</v>
      </c>
      <c r="AC98" s="280">
        <f t="shared" si="34"/>
        <v>177</v>
      </c>
      <c r="AD98" s="280">
        <f t="shared" si="34"/>
        <v>154.29999999999998</v>
      </c>
      <c r="AE98" s="280">
        <f t="shared" si="34"/>
        <v>94.800000000000011</v>
      </c>
      <c r="AF98" s="280">
        <f t="shared" si="34"/>
        <v>61.600000000000009</v>
      </c>
      <c r="AG98" s="281"/>
      <c r="AH98" s="226">
        <f>MAX(C98:AF98)</f>
        <v>276.10000000000002</v>
      </c>
      <c r="AI98" s="227">
        <f>MIN(C98:AF98)</f>
        <v>32.639999999999993</v>
      </c>
    </row>
    <row r="99" spans="1:37" x14ac:dyDescent="0.25">
      <c r="A99" s="268" t="s">
        <v>103</v>
      </c>
      <c r="B99" s="282">
        <v>1.6</v>
      </c>
      <c r="C99" s="282">
        <v>6.3</v>
      </c>
      <c r="D99" s="282">
        <v>6.6</v>
      </c>
      <c r="E99" s="282">
        <v>8</v>
      </c>
      <c r="F99" s="282">
        <v>8.9</v>
      </c>
      <c r="G99" s="282">
        <v>5.2</v>
      </c>
      <c r="H99" s="282">
        <v>11.3</v>
      </c>
      <c r="I99" s="282">
        <v>20.2</v>
      </c>
      <c r="J99" s="282">
        <v>16</v>
      </c>
      <c r="K99" s="282">
        <v>20.8</v>
      </c>
      <c r="L99" s="282">
        <v>27.5</v>
      </c>
      <c r="M99" s="282">
        <v>30.3</v>
      </c>
      <c r="N99" s="282">
        <v>26.2</v>
      </c>
      <c r="O99" s="282">
        <v>38.1</v>
      </c>
      <c r="P99" s="282">
        <v>43.3</v>
      </c>
      <c r="Q99" s="282">
        <v>35.1</v>
      </c>
      <c r="R99" s="282">
        <v>35.1</v>
      </c>
      <c r="S99" s="282">
        <v>35.1</v>
      </c>
      <c r="T99" s="282">
        <v>44.7</v>
      </c>
      <c r="U99" s="282">
        <v>43</v>
      </c>
      <c r="V99" s="282">
        <v>43</v>
      </c>
      <c r="W99" s="282">
        <v>43</v>
      </c>
      <c r="X99" s="282">
        <v>40.299999999999997</v>
      </c>
      <c r="Y99" s="282">
        <v>33.5</v>
      </c>
      <c r="Z99" s="282">
        <v>27.3</v>
      </c>
      <c r="AA99" s="282">
        <v>27.1</v>
      </c>
      <c r="AB99" s="282">
        <v>31.1</v>
      </c>
      <c r="AC99" s="282">
        <v>28.3</v>
      </c>
      <c r="AD99" s="282">
        <v>34</v>
      </c>
      <c r="AE99" s="282">
        <v>25</v>
      </c>
      <c r="AF99" s="282">
        <v>19</v>
      </c>
      <c r="AG99" s="283">
        <v>75</v>
      </c>
      <c r="AH99" s="226">
        <f t="shared" ref="AH99:AH107" si="36">IF(ABS(MAX(C99:AF99))&gt;ABS(MIN(C99:AF99)),MAX(C99:AF99),MIN(C99:AF99))</f>
        <v>44.7</v>
      </c>
      <c r="AI99" s="284">
        <f t="shared" ref="AI99:AI107" si="37">INDEX($C$9:$AF$9,1,MATCH(AH99,C99:AF99,0))</f>
        <v>0.625</v>
      </c>
    </row>
    <row r="100" spans="1:37" x14ac:dyDescent="0.25">
      <c r="A100" s="271" t="s">
        <v>269</v>
      </c>
      <c r="B100" s="285">
        <v>14.5</v>
      </c>
      <c r="C100" s="285">
        <v>21</v>
      </c>
      <c r="D100" s="285">
        <v>19.2</v>
      </c>
      <c r="E100" s="285">
        <v>22.9</v>
      </c>
      <c r="F100" s="285">
        <v>24.2</v>
      </c>
      <c r="G100" s="285">
        <v>15.1</v>
      </c>
      <c r="H100" s="285">
        <v>21</v>
      </c>
      <c r="I100" s="285">
        <v>33.5</v>
      </c>
      <c r="J100" s="285">
        <v>27.7</v>
      </c>
      <c r="K100" s="285">
        <v>35.299999999999997</v>
      </c>
      <c r="L100" s="285">
        <v>44.1</v>
      </c>
      <c r="M100" s="285">
        <v>46.5</v>
      </c>
      <c r="N100" s="285">
        <v>44</v>
      </c>
      <c r="O100" s="285">
        <v>57.1</v>
      </c>
      <c r="P100" s="285">
        <v>63.4</v>
      </c>
      <c r="Q100" s="285">
        <v>54.8</v>
      </c>
      <c r="R100" s="285">
        <v>54.8</v>
      </c>
      <c r="S100" s="285">
        <v>54.8</v>
      </c>
      <c r="T100" s="285">
        <v>68</v>
      </c>
      <c r="U100" s="285">
        <v>66</v>
      </c>
      <c r="V100" s="285">
        <v>66</v>
      </c>
      <c r="W100" s="285">
        <v>66</v>
      </c>
      <c r="X100" s="285">
        <v>60.3</v>
      </c>
      <c r="Y100" s="285">
        <v>51.8</v>
      </c>
      <c r="Z100" s="285">
        <v>43.1</v>
      </c>
      <c r="AA100" s="285">
        <v>43.5</v>
      </c>
      <c r="AB100" s="285">
        <v>48.2</v>
      </c>
      <c r="AC100" s="285">
        <v>45.2</v>
      </c>
      <c r="AD100" s="285">
        <v>52.5</v>
      </c>
      <c r="AE100" s="285">
        <v>42</v>
      </c>
      <c r="AF100" s="285">
        <v>35</v>
      </c>
      <c r="AG100" s="283">
        <v>240</v>
      </c>
      <c r="AH100" s="226">
        <f t="shared" si="36"/>
        <v>68</v>
      </c>
      <c r="AI100" s="284">
        <f t="shared" si="37"/>
        <v>0.625</v>
      </c>
    </row>
    <row r="101" spans="1:37" x14ac:dyDescent="0.25">
      <c r="A101" s="271" t="s">
        <v>104</v>
      </c>
      <c r="B101" s="285">
        <v>-126</v>
      </c>
      <c r="C101" s="285">
        <v>-130</v>
      </c>
      <c r="D101" s="285">
        <v>-131</v>
      </c>
      <c r="E101" s="285">
        <f>-60-64.4</f>
        <v>-124.4</v>
      </c>
      <c r="F101" s="285">
        <f>-61.2-65</f>
        <v>-126.2</v>
      </c>
      <c r="G101" s="285">
        <f>-48.6-52.7</f>
        <v>-101.30000000000001</v>
      </c>
      <c r="H101" s="285">
        <f>-46.7-49.1</f>
        <v>-95.800000000000011</v>
      </c>
      <c r="I101" s="285">
        <f>-42.9-46.2</f>
        <v>-89.1</v>
      </c>
      <c r="J101" s="285">
        <f>-35-37.9</f>
        <v>-72.900000000000006</v>
      </c>
      <c r="K101" s="285">
        <f>-46.4-49.7</f>
        <v>-96.1</v>
      </c>
      <c r="L101" s="285">
        <f>-43.8-47.3</f>
        <v>-91.1</v>
      </c>
      <c r="M101" s="285">
        <f>-42.1-45</f>
        <v>-87.1</v>
      </c>
      <c r="N101" s="285">
        <v>-96</v>
      </c>
      <c r="O101" s="285">
        <v>-92</v>
      </c>
      <c r="P101" s="285">
        <v>-99</v>
      </c>
      <c r="Q101" s="285">
        <v>-92</v>
      </c>
      <c r="R101" s="285">
        <v>-92</v>
      </c>
      <c r="S101" s="285">
        <v>-92</v>
      </c>
      <c r="T101" s="285">
        <v>-120</v>
      </c>
      <c r="U101" s="285">
        <v>-100</v>
      </c>
      <c r="V101" s="285">
        <v>-100</v>
      </c>
      <c r="W101" s="285">
        <v>-100</v>
      </c>
      <c r="X101" s="285">
        <f>-44.5-48.1</f>
        <v>-92.6</v>
      </c>
      <c r="Y101" s="285">
        <f>-32.1-35</f>
        <v>-67.099999999999994</v>
      </c>
      <c r="Z101" s="285">
        <f>-31.2-34.9</f>
        <v>-66.099999999999994</v>
      </c>
      <c r="AA101" s="285">
        <f>-37.9-40.5</f>
        <v>-78.400000000000006</v>
      </c>
      <c r="AB101" s="285">
        <f>-60-64</f>
        <v>-124</v>
      </c>
      <c r="AC101" s="285">
        <f>-60-64</f>
        <v>-124</v>
      </c>
      <c r="AD101" s="285">
        <f>-47.4-52</f>
        <v>-99.4</v>
      </c>
      <c r="AE101" s="285">
        <f>-58-61</f>
        <v>-119</v>
      </c>
      <c r="AF101" s="285">
        <f>-66-70</f>
        <v>-136</v>
      </c>
      <c r="AG101" s="283">
        <v>240</v>
      </c>
      <c r="AH101" s="226">
        <f t="shared" si="36"/>
        <v>-136</v>
      </c>
      <c r="AI101" s="284">
        <f t="shared" si="37"/>
        <v>0.95833333333333304</v>
      </c>
    </row>
    <row r="102" spans="1:37" x14ac:dyDescent="0.25">
      <c r="A102" s="271" t="s">
        <v>105</v>
      </c>
      <c r="B102" s="285">
        <v>-8.9</v>
      </c>
      <c r="C102" s="285">
        <v>-15</v>
      </c>
      <c r="D102" s="285">
        <v>-16.899999999999999</v>
      </c>
      <c r="E102" s="285">
        <v>-16.3</v>
      </c>
      <c r="F102" s="285">
        <v>-17.600000000000001</v>
      </c>
      <c r="G102" s="285">
        <v>1.5</v>
      </c>
      <c r="H102" s="285">
        <v>2.4</v>
      </c>
      <c r="I102" s="285">
        <v>2.8</v>
      </c>
      <c r="J102" s="285">
        <v>6.4</v>
      </c>
      <c r="K102" s="285">
        <v>3.1</v>
      </c>
      <c r="L102" s="285">
        <v>4</v>
      </c>
      <c r="M102" s="285">
        <v>2</v>
      </c>
      <c r="N102" s="285">
        <v>3.1</v>
      </c>
      <c r="O102" s="285">
        <v>2.5</v>
      </c>
      <c r="P102" s="285">
        <v>0</v>
      </c>
      <c r="Q102" s="285">
        <v>0.8</v>
      </c>
      <c r="R102" s="285">
        <v>0.8</v>
      </c>
      <c r="S102" s="285">
        <v>0.8</v>
      </c>
      <c r="T102" s="285">
        <v>0</v>
      </c>
      <c r="U102" s="285">
        <v>0</v>
      </c>
      <c r="V102" s="285">
        <v>0</v>
      </c>
      <c r="W102" s="285">
        <v>0</v>
      </c>
      <c r="X102" s="285">
        <v>3.9</v>
      </c>
      <c r="Y102" s="285">
        <v>2.7</v>
      </c>
      <c r="Z102" s="285">
        <v>14.3</v>
      </c>
      <c r="AA102" s="285">
        <v>-1.5</v>
      </c>
      <c r="AB102" s="285">
        <v>-5</v>
      </c>
      <c r="AC102" s="285">
        <v>-3.7</v>
      </c>
      <c r="AD102" s="285">
        <v>0</v>
      </c>
      <c r="AE102" s="285">
        <v>-1</v>
      </c>
      <c r="AF102" s="285">
        <v>-4.2</v>
      </c>
      <c r="AG102" s="283">
        <v>60</v>
      </c>
      <c r="AH102" s="226">
        <f t="shared" si="36"/>
        <v>-17.600000000000001</v>
      </c>
      <c r="AI102" s="284">
        <f t="shared" si="37"/>
        <v>0.16666666666666699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>
        <v>0</v>
      </c>
      <c r="F103" s="287">
        <v>0</v>
      </c>
      <c r="G103" s="287">
        <v>0</v>
      </c>
      <c r="H103" s="287">
        <v>0</v>
      </c>
      <c r="I103" s="287">
        <v>0</v>
      </c>
      <c r="J103" s="287">
        <v>0</v>
      </c>
      <c r="K103" s="287">
        <v>44.8</v>
      </c>
      <c r="L103" s="287">
        <v>53.4</v>
      </c>
      <c r="M103" s="287">
        <v>52.8</v>
      </c>
      <c r="N103" s="287">
        <v>44.5</v>
      </c>
      <c r="O103" s="287">
        <v>34.200000000000003</v>
      </c>
      <c r="P103" s="287">
        <v>18.5</v>
      </c>
      <c r="Q103" s="287">
        <v>42.3</v>
      </c>
      <c r="R103" s="287">
        <v>42.3</v>
      </c>
      <c r="S103" s="287">
        <v>42.3</v>
      </c>
      <c r="T103" s="287">
        <v>11.4</v>
      </c>
      <c r="U103" s="287">
        <v>0</v>
      </c>
      <c r="V103" s="287">
        <v>0</v>
      </c>
      <c r="W103" s="287">
        <v>0</v>
      </c>
      <c r="X103" s="287">
        <v>42.1</v>
      </c>
      <c r="Y103" s="287">
        <v>63.7</v>
      </c>
      <c r="Z103" s="287">
        <v>63.8</v>
      </c>
      <c r="AA103" s="287">
        <v>63.8</v>
      </c>
      <c r="AB103" s="287">
        <v>64</v>
      </c>
      <c r="AC103" s="287">
        <v>64</v>
      </c>
      <c r="AD103" s="287">
        <v>0</v>
      </c>
      <c r="AE103" s="287">
        <v>0</v>
      </c>
      <c r="AF103" s="287">
        <v>0</v>
      </c>
      <c r="AG103" s="288">
        <v>120</v>
      </c>
      <c r="AH103" s="226">
        <f t="shared" si="36"/>
        <v>64</v>
      </c>
      <c r="AI103" s="284">
        <f t="shared" si="37"/>
        <v>0.83333333333333337</v>
      </c>
    </row>
    <row r="104" spans="1:37" x14ac:dyDescent="0.25">
      <c r="A104" s="286" t="s">
        <v>107</v>
      </c>
      <c r="B104" s="287">
        <v>34.5</v>
      </c>
      <c r="C104" s="287">
        <v>43.6</v>
      </c>
      <c r="D104" s="287">
        <v>35.299999999999997</v>
      </c>
      <c r="E104" s="287">
        <v>35.9</v>
      </c>
      <c r="F104" s="287">
        <v>42.7</v>
      </c>
      <c r="G104" s="287">
        <v>42.7</v>
      </c>
      <c r="H104" s="287">
        <v>43.8</v>
      </c>
      <c r="I104" s="287">
        <v>38.1</v>
      </c>
      <c r="J104" s="287">
        <v>56.9</v>
      </c>
      <c r="K104" s="287">
        <v>43.1</v>
      </c>
      <c r="L104" s="287">
        <v>45.1</v>
      </c>
      <c r="M104" s="287">
        <v>45.3</v>
      </c>
      <c r="N104" s="287">
        <v>42.5</v>
      </c>
      <c r="O104" s="287">
        <v>31.9</v>
      </c>
      <c r="P104" s="287">
        <v>23</v>
      </c>
      <c r="Q104" s="287">
        <v>38.5</v>
      </c>
      <c r="R104" s="287">
        <v>38.5</v>
      </c>
      <c r="S104" s="287">
        <v>38.5</v>
      </c>
      <c r="T104" s="287">
        <v>22</v>
      </c>
      <c r="U104" s="287">
        <v>40</v>
      </c>
      <c r="V104" s="287">
        <v>40</v>
      </c>
      <c r="W104" s="287">
        <v>40</v>
      </c>
      <c r="X104" s="287">
        <v>38.200000000000003</v>
      </c>
      <c r="Y104" s="287">
        <v>67.400000000000006</v>
      </c>
      <c r="Z104" s="287">
        <v>70.099999999999994</v>
      </c>
      <c r="AA104" s="287">
        <v>59.5</v>
      </c>
      <c r="AB104" s="287">
        <v>21.1</v>
      </c>
      <c r="AC104" s="287">
        <v>26</v>
      </c>
      <c r="AD104" s="287">
        <v>42.3</v>
      </c>
      <c r="AE104" s="287">
        <v>25.2</v>
      </c>
      <c r="AF104" s="287">
        <v>17.399999999999999</v>
      </c>
      <c r="AG104" s="288"/>
      <c r="AH104" s="226">
        <f t="shared" si="36"/>
        <v>70.099999999999994</v>
      </c>
      <c r="AI104" s="284">
        <f t="shared" si="37"/>
        <v>0.79166666666666663</v>
      </c>
    </row>
    <row r="105" spans="1:37" x14ac:dyDescent="0.25">
      <c r="A105" s="286" t="s">
        <v>108</v>
      </c>
      <c r="B105" s="287">
        <v>74</v>
      </c>
      <c r="C105" s="287">
        <v>77</v>
      </c>
      <c r="D105" s="287">
        <v>58.4</v>
      </c>
      <c r="E105" s="287">
        <v>51.2</v>
      </c>
      <c r="F105" s="287">
        <v>70.099999999999994</v>
      </c>
      <c r="G105" s="287">
        <v>58.2</v>
      </c>
      <c r="H105" s="287">
        <v>76.400000000000006</v>
      </c>
      <c r="I105" s="287">
        <v>41</v>
      </c>
      <c r="J105" s="287">
        <v>50.6</v>
      </c>
      <c r="K105" s="287">
        <v>52.4</v>
      </c>
      <c r="L105" s="287">
        <v>44</v>
      </c>
      <c r="M105" s="287">
        <v>35.5</v>
      </c>
      <c r="N105" s="287">
        <v>44.7</v>
      </c>
      <c r="O105" s="287">
        <v>-15</v>
      </c>
      <c r="P105" s="287">
        <v>-53.9</v>
      </c>
      <c r="Q105" s="287">
        <v>-12.1</v>
      </c>
      <c r="R105" s="287">
        <v>-12.1</v>
      </c>
      <c r="S105" s="287">
        <v>-12.1</v>
      </c>
      <c r="T105" s="287">
        <v>15</v>
      </c>
      <c r="U105" s="287">
        <v>2</v>
      </c>
      <c r="V105" s="287">
        <v>2</v>
      </c>
      <c r="W105" s="287">
        <v>2</v>
      </c>
      <c r="X105" s="287">
        <v>8.1</v>
      </c>
      <c r="Y105" s="287">
        <v>37.6</v>
      </c>
      <c r="Z105" s="287">
        <v>49.1</v>
      </c>
      <c r="AA105" s="287">
        <v>58.3</v>
      </c>
      <c r="AB105" s="287">
        <v>3.4</v>
      </c>
      <c r="AC105" s="287">
        <v>12</v>
      </c>
      <c r="AD105" s="287">
        <v>2.2000000000000002</v>
      </c>
      <c r="AE105" s="287">
        <v>5.2</v>
      </c>
      <c r="AF105" s="287">
        <v>10.199999999999999</v>
      </c>
      <c r="AG105" s="289"/>
      <c r="AH105" s="226">
        <f t="shared" si="36"/>
        <v>77</v>
      </c>
      <c r="AI105" s="284">
        <f t="shared" si="37"/>
        <v>4.1666666666666664E-2</v>
      </c>
    </row>
    <row r="106" spans="1:37" x14ac:dyDescent="0.25">
      <c r="A106" s="290" t="s">
        <v>109</v>
      </c>
      <c r="B106" s="274">
        <v>116</v>
      </c>
      <c r="C106" s="274">
        <v>115.8</v>
      </c>
      <c r="D106" s="274">
        <v>116.9</v>
      </c>
      <c r="E106" s="274">
        <v>121.4</v>
      </c>
      <c r="F106" s="274">
        <v>122.3</v>
      </c>
      <c r="G106" s="274">
        <v>122.1</v>
      </c>
      <c r="H106" s="274">
        <v>123</v>
      </c>
      <c r="I106" s="274">
        <v>121.9</v>
      </c>
      <c r="J106" s="274">
        <v>120</v>
      </c>
      <c r="K106" s="274">
        <v>114.4</v>
      </c>
      <c r="L106" s="274">
        <v>117.2</v>
      </c>
      <c r="M106" s="274">
        <v>114.8</v>
      </c>
      <c r="N106" s="274">
        <v>116.3</v>
      </c>
      <c r="O106" s="274">
        <v>113</v>
      </c>
      <c r="P106" s="274">
        <v>110.7</v>
      </c>
      <c r="Q106" s="274">
        <v>110.2</v>
      </c>
      <c r="R106" s="274">
        <v>110.2</v>
      </c>
      <c r="S106" s="274">
        <v>110.2</v>
      </c>
      <c r="T106" s="274">
        <v>114.6</v>
      </c>
      <c r="U106" s="274">
        <v>105</v>
      </c>
      <c r="V106" s="274">
        <v>105</v>
      </c>
      <c r="W106" s="274">
        <v>105</v>
      </c>
      <c r="X106" s="274">
        <v>98.7</v>
      </c>
      <c r="Y106" s="274">
        <v>96.9</v>
      </c>
      <c r="Z106" s="274">
        <v>94.3</v>
      </c>
      <c r="AA106" s="274">
        <v>98.1</v>
      </c>
      <c r="AB106" s="274">
        <v>105</v>
      </c>
      <c r="AC106" s="274">
        <v>105.2</v>
      </c>
      <c r="AD106" s="274">
        <v>108</v>
      </c>
      <c r="AE106" s="274">
        <v>113.2</v>
      </c>
      <c r="AF106" s="274">
        <v>117</v>
      </c>
      <c r="AG106" s="289"/>
      <c r="AH106" s="226">
        <f t="shared" si="36"/>
        <v>123</v>
      </c>
      <c r="AI106" s="284">
        <f t="shared" si="37"/>
        <v>0.22916666666666666</v>
      </c>
    </row>
    <row r="107" spans="1:37" ht="15.75" thickBot="1" x14ac:dyDescent="0.3">
      <c r="A107" s="290" t="s">
        <v>110</v>
      </c>
      <c r="B107" s="274">
        <v>75</v>
      </c>
      <c r="C107" s="274">
        <v>75.3</v>
      </c>
      <c r="D107" s="274">
        <v>72.3</v>
      </c>
      <c r="E107" s="274">
        <v>71.7</v>
      </c>
      <c r="F107" s="274">
        <v>71</v>
      </c>
      <c r="G107" s="274">
        <v>60.4</v>
      </c>
      <c r="H107" s="274">
        <v>74.7</v>
      </c>
      <c r="I107" s="274">
        <v>56.6</v>
      </c>
      <c r="J107" s="274">
        <v>46.5</v>
      </c>
      <c r="K107" s="274">
        <v>59.3</v>
      </c>
      <c r="L107" s="274">
        <v>58.1</v>
      </c>
      <c r="M107" s="274">
        <v>55.4</v>
      </c>
      <c r="N107" s="274">
        <v>62.6</v>
      </c>
      <c r="O107" s="274">
        <v>63.8</v>
      </c>
      <c r="P107" s="274">
        <v>70.900000000000006</v>
      </c>
      <c r="Q107" s="274">
        <v>66.3</v>
      </c>
      <c r="R107" s="274">
        <v>66.3</v>
      </c>
      <c r="S107" s="274">
        <v>66.3</v>
      </c>
      <c r="T107" s="274">
        <v>80</v>
      </c>
      <c r="U107" s="274">
        <v>73</v>
      </c>
      <c r="V107" s="274">
        <v>73</v>
      </c>
      <c r="W107" s="274">
        <v>73</v>
      </c>
      <c r="X107" s="274">
        <v>61.7</v>
      </c>
      <c r="Y107" s="274">
        <v>39.5</v>
      </c>
      <c r="Z107" s="274">
        <v>44.3</v>
      </c>
      <c r="AA107" s="274">
        <v>42.6</v>
      </c>
      <c r="AB107" s="274">
        <v>77</v>
      </c>
      <c r="AC107" s="274">
        <v>76</v>
      </c>
      <c r="AD107" s="274">
        <v>67</v>
      </c>
      <c r="AE107" s="274">
        <v>76</v>
      </c>
      <c r="AF107" s="274">
        <v>84</v>
      </c>
      <c r="AG107" s="289"/>
      <c r="AH107" s="226">
        <f t="shared" si="36"/>
        <v>84</v>
      </c>
      <c r="AI107" s="284">
        <f t="shared" si="37"/>
        <v>0.95833333333333304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38">SUM(C109:C213)</f>
        <v>0</v>
      </c>
      <c r="D214" s="307">
        <f t="shared" si="38"/>
        <v>0</v>
      </c>
      <c r="E214" s="307">
        <f t="shared" si="38"/>
        <v>0</v>
      </c>
      <c r="F214" s="307">
        <f t="shared" si="38"/>
        <v>0</v>
      </c>
      <c r="G214" s="307">
        <f t="shared" si="38"/>
        <v>0</v>
      </c>
      <c r="H214" s="307">
        <f t="shared" si="38"/>
        <v>0</v>
      </c>
      <c r="I214" s="307">
        <f t="shared" si="38"/>
        <v>0</v>
      </c>
      <c r="J214" s="307">
        <f t="shared" si="38"/>
        <v>0</v>
      </c>
      <c r="K214" s="307">
        <f t="shared" si="38"/>
        <v>0</v>
      </c>
      <c r="L214" s="307">
        <f t="shared" si="38"/>
        <v>0</v>
      </c>
      <c r="M214" s="307">
        <f t="shared" si="38"/>
        <v>0</v>
      </c>
      <c r="N214" s="307">
        <f t="shared" si="38"/>
        <v>0</v>
      </c>
      <c r="O214" s="307">
        <f t="shared" si="38"/>
        <v>0</v>
      </c>
      <c r="P214" s="307">
        <f t="shared" si="38"/>
        <v>0</v>
      </c>
      <c r="Q214" s="307">
        <f t="shared" si="38"/>
        <v>0</v>
      </c>
      <c r="R214" s="307">
        <f t="shared" si="38"/>
        <v>0</v>
      </c>
      <c r="S214" s="307">
        <f t="shared" si="38"/>
        <v>0</v>
      </c>
      <c r="T214" s="307">
        <f t="shared" si="38"/>
        <v>0</v>
      </c>
      <c r="U214" s="307">
        <f t="shared" si="38"/>
        <v>0</v>
      </c>
      <c r="V214" s="307">
        <f t="shared" si="38"/>
        <v>0</v>
      </c>
      <c r="W214" s="307">
        <f t="shared" si="38"/>
        <v>0</v>
      </c>
      <c r="X214" s="307">
        <f t="shared" si="38"/>
        <v>0</v>
      </c>
      <c r="Y214" s="307">
        <f t="shared" si="38"/>
        <v>0</v>
      </c>
      <c r="Z214" s="307">
        <f t="shared" si="38"/>
        <v>0</v>
      </c>
      <c r="AA214" s="307">
        <f t="shared" si="38"/>
        <v>0</v>
      </c>
      <c r="AB214" s="307">
        <f t="shared" si="38"/>
        <v>0</v>
      </c>
      <c r="AC214" s="307">
        <f t="shared" si="38"/>
        <v>0</v>
      </c>
      <c r="AD214" s="307">
        <f t="shared" si="38"/>
        <v>0</v>
      </c>
      <c r="AE214" s="307">
        <f t="shared" si="38"/>
        <v>0</v>
      </c>
      <c r="AF214" s="308">
        <f t="shared" si="38"/>
        <v>0</v>
      </c>
      <c r="AG214" s="309">
        <f t="shared" si="38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39">AF216</f>
        <v>0</v>
      </c>
      <c r="C216" s="312">
        <v>0.3</v>
      </c>
      <c r="D216" s="312">
        <f t="shared" ref="D216:P221" si="40">C216</f>
        <v>0.3</v>
      </c>
      <c r="E216" s="312">
        <f t="shared" si="40"/>
        <v>0.3</v>
      </c>
      <c r="F216" s="312">
        <f t="shared" si="40"/>
        <v>0.3</v>
      </c>
      <c r="G216" s="312">
        <f t="shared" si="40"/>
        <v>0.3</v>
      </c>
      <c r="H216" s="312">
        <f t="shared" si="40"/>
        <v>0.3</v>
      </c>
      <c r="I216" s="312">
        <f t="shared" si="40"/>
        <v>0.3</v>
      </c>
      <c r="J216" s="312">
        <f t="shared" si="40"/>
        <v>0.3</v>
      </c>
      <c r="K216" s="312">
        <f t="shared" si="40"/>
        <v>0.3</v>
      </c>
      <c r="L216" s="312">
        <f t="shared" si="40"/>
        <v>0.3</v>
      </c>
      <c r="M216" s="312">
        <f t="shared" si="40"/>
        <v>0.3</v>
      </c>
      <c r="N216" s="312">
        <f t="shared" si="40"/>
        <v>0.3</v>
      </c>
      <c r="O216" s="312">
        <f t="shared" si="40"/>
        <v>0.3</v>
      </c>
      <c r="P216" s="312">
        <f t="shared" si="40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39"/>
        <v>0</v>
      </c>
      <c r="C217" s="299">
        <v>0.4</v>
      </c>
      <c r="D217" s="299">
        <f t="shared" si="40"/>
        <v>0.4</v>
      </c>
      <c r="E217" s="299">
        <f t="shared" si="40"/>
        <v>0.4</v>
      </c>
      <c r="F217" s="299">
        <f t="shared" si="40"/>
        <v>0.4</v>
      </c>
      <c r="G217" s="299">
        <f t="shared" si="40"/>
        <v>0.4</v>
      </c>
      <c r="H217" s="299">
        <f t="shared" si="40"/>
        <v>0.4</v>
      </c>
      <c r="I217" s="299">
        <f t="shared" si="40"/>
        <v>0.4</v>
      </c>
      <c r="J217" s="299">
        <f t="shared" si="40"/>
        <v>0.4</v>
      </c>
      <c r="K217" s="299">
        <f t="shared" si="40"/>
        <v>0.4</v>
      </c>
      <c r="L217" s="299">
        <f t="shared" si="40"/>
        <v>0.4</v>
      </c>
      <c r="M217" s="299">
        <f t="shared" si="40"/>
        <v>0.4</v>
      </c>
      <c r="N217" s="299">
        <f t="shared" si="40"/>
        <v>0.4</v>
      </c>
      <c r="O217" s="299">
        <f t="shared" si="40"/>
        <v>0.4</v>
      </c>
      <c r="P217" s="299">
        <f t="shared" si="40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39"/>
        <v>0</v>
      </c>
      <c r="C218" s="299">
        <v>1.5</v>
      </c>
      <c r="D218" s="299">
        <f t="shared" si="40"/>
        <v>1.5</v>
      </c>
      <c r="E218" s="299">
        <f t="shared" si="40"/>
        <v>1.5</v>
      </c>
      <c r="F218" s="299">
        <f t="shared" si="40"/>
        <v>1.5</v>
      </c>
      <c r="G218" s="299">
        <f t="shared" si="40"/>
        <v>1.5</v>
      </c>
      <c r="H218" s="299">
        <f t="shared" si="40"/>
        <v>1.5</v>
      </c>
      <c r="I218" s="299">
        <f t="shared" si="40"/>
        <v>1.5</v>
      </c>
      <c r="J218" s="299">
        <f t="shared" si="40"/>
        <v>1.5</v>
      </c>
      <c r="K218" s="299">
        <f t="shared" si="40"/>
        <v>1.5</v>
      </c>
      <c r="L218" s="299">
        <f t="shared" si="40"/>
        <v>1.5</v>
      </c>
      <c r="M218" s="299">
        <f t="shared" si="40"/>
        <v>1.5</v>
      </c>
      <c r="N218" s="299">
        <f t="shared" si="40"/>
        <v>1.5</v>
      </c>
      <c r="O218" s="299">
        <f t="shared" si="40"/>
        <v>1.5</v>
      </c>
      <c r="P218" s="299">
        <f t="shared" si="40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39"/>
        <v>0</v>
      </c>
      <c r="C219" s="299">
        <v>0.3</v>
      </c>
      <c r="D219" s="299">
        <f t="shared" si="40"/>
        <v>0.3</v>
      </c>
      <c r="E219" s="299">
        <f t="shared" si="40"/>
        <v>0.3</v>
      </c>
      <c r="F219" s="299">
        <f t="shared" si="40"/>
        <v>0.3</v>
      </c>
      <c r="G219" s="299">
        <f t="shared" si="40"/>
        <v>0.3</v>
      </c>
      <c r="H219" s="299">
        <f t="shared" si="40"/>
        <v>0.3</v>
      </c>
      <c r="I219" s="299">
        <f t="shared" si="40"/>
        <v>0.3</v>
      </c>
      <c r="J219" s="299">
        <f t="shared" si="40"/>
        <v>0.3</v>
      </c>
      <c r="K219" s="299">
        <f t="shared" si="40"/>
        <v>0.3</v>
      </c>
      <c r="L219" s="299">
        <f t="shared" si="40"/>
        <v>0.3</v>
      </c>
      <c r="M219" s="299">
        <f t="shared" si="40"/>
        <v>0.3</v>
      </c>
      <c r="N219" s="299">
        <f t="shared" si="40"/>
        <v>0.3</v>
      </c>
      <c r="O219" s="299">
        <f t="shared" si="40"/>
        <v>0.3</v>
      </c>
      <c r="P219" s="299">
        <f t="shared" si="40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39"/>
        <v>0</v>
      </c>
      <c r="C220" s="299">
        <v>0.4</v>
      </c>
      <c r="D220" s="299">
        <f t="shared" si="40"/>
        <v>0.4</v>
      </c>
      <c r="E220" s="299">
        <f t="shared" si="40"/>
        <v>0.4</v>
      </c>
      <c r="F220" s="299">
        <f t="shared" si="40"/>
        <v>0.4</v>
      </c>
      <c r="G220" s="299">
        <f t="shared" si="40"/>
        <v>0.4</v>
      </c>
      <c r="H220" s="299">
        <f t="shared" si="40"/>
        <v>0.4</v>
      </c>
      <c r="I220" s="299">
        <f t="shared" si="40"/>
        <v>0.4</v>
      </c>
      <c r="J220" s="299">
        <f t="shared" si="40"/>
        <v>0.4</v>
      </c>
      <c r="K220" s="299">
        <f t="shared" si="40"/>
        <v>0.4</v>
      </c>
      <c r="L220" s="299">
        <f t="shared" si="40"/>
        <v>0.4</v>
      </c>
      <c r="M220" s="299">
        <f t="shared" si="40"/>
        <v>0.4</v>
      </c>
      <c r="N220" s="299">
        <f t="shared" si="40"/>
        <v>0.4</v>
      </c>
      <c r="O220" s="299">
        <f t="shared" si="40"/>
        <v>0.4</v>
      </c>
      <c r="P220" s="299">
        <f t="shared" si="40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39"/>
        <v>0</v>
      </c>
      <c r="C221" s="303">
        <v>0.64</v>
      </c>
      <c r="D221" s="303">
        <f t="shared" si="40"/>
        <v>0.64</v>
      </c>
      <c r="E221" s="303">
        <f t="shared" si="40"/>
        <v>0.64</v>
      </c>
      <c r="F221" s="303">
        <f t="shared" si="40"/>
        <v>0.64</v>
      </c>
      <c r="G221" s="303">
        <f t="shared" si="40"/>
        <v>0.64</v>
      </c>
      <c r="H221" s="303">
        <f t="shared" si="40"/>
        <v>0.64</v>
      </c>
      <c r="I221" s="303">
        <f t="shared" si="40"/>
        <v>0.64</v>
      </c>
      <c r="J221" s="303">
        <f t="shared" si="40"/>
        <v>0.64</v>
      </c>
      <c r="K221" s="303">
        <f t="shared" si="40"/>
        <v>0.64</v>
      </c>
      <c r="L221" s="303">
        <f t="shared" si="40"/>
        <v>0.64</v>
      </c>
      <c r="M221" s="303">
        <f t="shared" si="40"/>
        <v>0.64</v>
      </c>
      <c r="N221" s="303">
        <f t="shared" si="40"/>
        <v>0.64</v>
      </c>
      <c r="O221" s="303">
        <f t="shared" si="40"/>
        <v>0.64</v>
      </c>
      <c r="P221" s="303">
        <f t="shared" si="40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41">SUM(D216:D221)</f>
        <v>3.54</v>
      </c>
      <c r="E222" s="307">
        <f t="shared" si="41"/>
        <v>3.54</v>
      </c>
      <c r="F222" s="307">
        <f t="shared" si="41"/>
        <v>3.54</v>
      </c>
      <c r="G222" s="307">
        <f t="shared" si="41"/>
        <v>3.54</v>
      </c>
      <c r="H222" s="307">
        <f t="shared" si="41"/>
        <v>3.54</v>
      </c>
      <c r="I222" s="307">
        <f t="shared" si="41"/>
        <v>3.54</v>
      </c>
      <c r="J222" s="307">
        <f t="shared" si="41"/>
        <v>3.54</v>
      </c>
      <c r="K222" s="307">
        <f t="shared" si="41"/>
        <v>3.54</v>
      </c>
      <c r="L222" s="307">
        <f t="shared" si="41"/>
        <v>3.54</v>
      </c>
      <c r="M222" s="307">
        <f>SUM(M216:M221)</f>
        <v>3.54</v>
      </c>
      <c r="N222" s="307">
        <f t="shared" ref="N222:S222" si="42">SUM(N216:N221)</f>
        <v>3.54</v>
      </c>
      <c r="O222" s="307">
        <f t="shared" si="42"/>
        <v>3.54</v>
      </c>
      <c r="P222" s="307">
        <f t="shared" si="42"/>
        <v>3.54</v>
      </c>
      <c r="Q222" s="307">
        <f t="shared" si="42"/>
        <v>0</v>
      </c>
      <c r="R222" s="307">
        <f t="shared" si="42"/>
        <v>0</v>
      </c>
      <c r="S222" s="307">
        <f t="shared" si="42"/>
        <v>0</v>
      </c>
      <c r="T222" s="307">
        <f>SUM(T216:T221)</f>
        <v>0</v>
      </c>
      <c r="U222" s="307">
        <f t="shared" ref="U222:AG222" si="43">SUM(U216:U221)</f>
        <v>0</v>
      </c>
      <c r="V222" s="307">
        <f t="shared" si="43"/>
        <v>0</v>
      </c>
      <c r="W222" s="307">
        <f t="shared" si="43"/>
        <v>0</v>
      </c>
      <c r="X222" s="307">
        <f t="shared" si="43"/>
        <v>0</v>
      </c>
      <c r="Y222" s="307">
        <f t="shared" si="43"/>
        <v>0</v>
      </c>
      <c r="Z222" s="307">
        <f t="shared" si="43"/>
        <v>0</v>
      </c>
      <c r="AA222" s="307">
        <f t="shared" si="43"/>
        <v>0</v>
      </c>
      <c r="AB222" s="307">
        <f t="shared" si="43"/>
        <v>0</v>
      </c>
      <c r="AC222" s="307">
        <f t="shared" si="43"/>
        <v>0</v>
      </c>
      <c r="AD222" s="307">
        <f t="shared" si="43"/>
        <v>0</v>
      </c>
      <c r="AE222" s="307">
        <f t="shared" si="43"/>
        <v>0</v>
      </c>
      <c r="AF222" s="307">
        <f t="shared" si="43"/>
        <v>0</v>
      </c>
      <c r="AG222" s="317">
        <f t="shared" si="43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1727.94</v>
      </c>
      <c r="C231" s="333">
        <f>INDEX(G9:N9,1,MATCH(MAX(G79:N79),G79:N79,0))</f>
        <v>0.33333333333333331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30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str">
        <f ca="1">"Pie Chart of Daily Peak Demand(Inclusive of Export) of Nepal ("&amp;A4&amp;" "&amp;B4&amp;")"</f>
        <v>Pie Chart of Daily Peak Demand(Inclusive of Export) of Nepal (Nepali Date: 2079/05/30)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str">
        <f ca="1">"Daily Load Curve(Excluding of Export) of Nepal ("&amp;A4&amp;" "&amp;B4&amp;")"</f>
        <v>Daily Load Curve(Excluding of Export) of Nepal (Nepali Date: 2079/05/30)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44">B79</f>
        <v>1714.24</v>
      </c>
      <c r="U236" s="343">
        <f t="shared" si="44"/>
        <v>1702.1399999999999</v>
      </c>
      <c r="V236" s="343">
        <f t="shared" si="44"/>
        <v>1660.94</v>
      </c>
      <c r="W236" s="343">
        <f t="shared" si="44"/>
        <v>1633.94</v>
      </c>
      <c r="X236" s="343">
        <f t="shared" si="44"/>
        <v>1623.34</v>
      </c>
      <c r="Y236" s="343">
        <f t="shared" si="44"/>
        <v>1600.1399999999999</v>
      </c>
      <c r="Z236" s="343">
        <f t="shared" si="44"/>
        <v>1603.54</v>
      </c>
      <c r="AA236" s="343">
        <f t="shared" si="44"/>
        <v>1556.6399999999999</v>
      </c>
      <c r="AB236" s="343">
        <f t="shared" si="44"/>
        <v>1599.04</v>
      </c>
      <c r="AC236" s="343">
        <f t="shared" si="44"/>
        <v>1660.74</v>
      </c>
      <c r="AD236" s="343">
        <f t="shared" si="44"/>
        <v>1692.34</v>
      </c>
      <c r="AE236" s="343">
        <f t="shared" si="44"/>
        <v>1727.94</v>
      </c>
      <c r="AF236" s="343">
        <f t="shared" si="44"/>
        <v>1718.3400000000001</v>
      </c>
      <c r="AG236" s="343">
        <f t="shared" si="44"/>
        <v>1748.6399999999999</v>
      </c>
      <c r="AH236" s="343">
        <f t="shared" si="44"/>
        <v>1712.04</v>
      </c>
      <c r="AI236" s="343">
        <f t="shared" si="44"/>
        <v>1706.84</v>
      </c>
      <c r="AJ236" s="343">
        <f t="shared" si="44"/>
        <v>1688.74</v>
      </c>
      <c r="AK236" s="343">
        <f t="shared" si="44"/>
        <v>1633.6399999999999</v>
      </c>
      <c r="AL236" s="343">
        <f t="shared" si="44"/>
        <v>1653.54</v>
      </c>
      <c r="AM236" s="343">
        <f t="shared" si="44"/>
        <v>1653.54</v>
      </c>
      <c r="AN236" s="343">
        <f t="shared" si="44"/>
        <v>1645.54</v>
      </c>
      <c r="AO236" s="343">
        <f t="shared" si="44"/>
        <v>1651.54</v>
      </c>
      <c r="AP236" s="343">
        <f t="shared" si="44"/>
        <v>1698.4399999999998</v>
      </c>
      <c r="AQ236" s="343">
        <f t="shared" si="44"/>
        <v>1773.84</v>
      </c>
      <c r="AR236" s="343">
        <f t="shared" si="44"/>
        <v>1779.44</v>
      </c>
      <c r="AS236" s="343">
        <f t="shared" si="44"/>
        <v>1760.34</v>
      </c>
      <c r="AT236" s="343">
        <f t="shared" si="44"/>
        <v>1765.34</v>
      </c>
      <c r="AU236" s="343">
        <f t="shared" si="44"/>
        <v>1726.6399999999999</v>
      </c>
      <c r="AV236" s="343">
        <f t="shared" si="44"/>
        <v>1726.6399999999999</v>
      </c>
      <c r="AW236" s="343">
        <f t="shared" si="44"/>
        <v>1676.2399999999998</v>
      </c>
      <c r="AX236" s="343">
        <f t="shared" si="44"/>
        <v>1656.9399999999998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45">C221</f>
        <v>0.64</v>
      </c>
      <c r="C257" s="346">
        <f t="shared" si="45"/>
        <v>0.64</v>
      </c>
      <c r="D257" s="346">
        <f t="shared" si="45"/>
        <v>0.64</v>
      </c>
      <c r="E257" s="346">
        <f t="shared" si="45"/>
        <v>0.64</v>
      </c>
      <c r="F257" s="346">
        <f t="shared" si="45"/>
        <v>0.64</v>
      </c>
      <c r="G257" s="346">
        <f t="shared" si="45"/>
        <v>0.64</v>
      </c>
      <c r="H257" s="346">
        <f t="shared" si="45"/>
        <v>0.64</v>
      </c>
      <c r="I257" s="346">
        <f t="shared" si="45"/>
        <v>0.64</v>
      </c>
      <c r="J257" s="346">
        <f t="shared" si="45"/>
        <v>0.64</v>
      </c>
      <c r="K257" s="346">
        <f t="shared" si="45"/>
        <v>0.64</v>
      </c>
      <c r="L257" s="346">
        <f t="shared" si="45"/>
        <v>0.64</v>
      </c>
      <c r="M257" s="346">
        <f t="shared" si="45"/>
        <v>0.64</v>
      </c>
      <c r="N257" s="346">
        <f t="shared" si="45"/>
        <v>0.64</v>
      </c>
      <c r="O257" s="346">
        <f t="shared" si="45"/>
        <v>0.64</v>
      </c>
      <c r="P257" s="346">
        <f t="shared" si="45"/>
        <v>0</v>
      </c>
      <c r="Q257" s="346">
        <f t="shared" si="45"/>
        <v>0</v>
      </c>
      <c r="R257" s="346">
        <f t="shared" si="45"/>
        <v>0</v>
      </c>
      <c r="S257" s="346">
        <f t="shared" si="45"/>
        <v>0</v>
      </c>
      <c r="T257" s="346">
        <f t="shared" si="45"/>
        <v>0</v>
      </c>
      <c r="U257" s="346">
        <f t="shared" si="45"/>
        <v>0</v>
      </c>
      <c r="V257" s="346">
        <f t="shared" si="45"/>
        <v>0</v>
      </c>
      <c r="W257" s="346">
        <f t="shared" si="45"/>
        <v>0</v>
      </c>
      <c r="X257" s="346">
        <f t="shared" si="45"/>
        <v>0</v>
      </c>
      <c r="Y257" s="346">
        <f t="shared" si="45"/>
        <v>0</v>
      </c>
      <c r="Z257" s="346">
        <f t="shared" si="45"/>
        <v>0</v>
      </c>
      <c r="AA257" s="346">
        <f t="shared" si="45"/>
        <v>0</v>
      </c>
      <c r="AB257" s="346">
        <f t="shared" si="45"/>
        <v>0</v>
      </c>
      <c r="AC257" s="346">
        <f t="shared" si="45"/>
        <v>0</v>
      </c>
      <c r="AD257" s="346">
        <f t="shared" si="45"/>
        <v>0</v>
      </c>
      <c r="AE257" s="346">
        <f t="shared" si="45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46">IF(C225&lt;100,"",C225-520)</f>
        <v/>
      </c>
      <c r="D258" s="347" t="str">
        <f t="shared" si="46"/>
        <v/>
      </c>
      <c r="E258" s="347" t="str">
        <f t="shared" si="46"/>
        <v/>
      </c>
      <c r="F258" s="347" t="str">
        <f t="shared" si="46"/>
        <v/>
      </c>
      <c r="G258" s="347" t="str">
        <f t="shared" si="46"/>
        <v/>
      </c>
      <c r="H258" s="347" t="str">
        <f t="shared" si="46"/>
        <v/>
      </c>
      <c r="I258" s="347" t="str">
        <f t="shared" si="46"/>
        <v/>
      </c>
      <c r="J258" s="347" t="str">
        <f t="shared" si="46"/>
        <v/>
      </c>
      <c r="K258" s="347" t="str">
        <f t="shared" si="46"/>
        <v/>
      </c>
      <c r="L258" s="347" t="str">
        <f t="shared" si="46"/>
        <v/>
      </c>
      <c r="M258" s="347" t="str">
        <f t="shared" si="46"/>
        <v/>
      </c>
      <c r="N258" s="347" t="str">
        <f t="shared" si="46"/>
        <v/>
      </c>
      <c r="O258" s="347" t="str">
        <f t="shared" si="46"/>
        <v/>
      </c>
      <c r="P258" s="347" t="str">
        <f t="shared" si="46"/>
        <v/>
      </c>
      <c r="Q258" s="347" t="str">
        <f t="shared" si="46"/>
        <v/>
      </c>
      <c r="R258" s="347" t="str">
        <f t="shared" si="46"/>
        <v/>
      </c>
      <c r="S258" s="347" t="str">
        <f t="shared" si="46"/>
        <v/>
      </c>
      <c r="T258" s="347" t="str">
        <f t="shared" si="46"/>
        <v/>
      </c>
      <c r="U258" s="347" t="str">
        <f t="shared" si="46"/>
        <v/>
      </c>
      <c r="V258" s="347" t="str">
        <f t="shared" si="46"/>
        <v/>
      </c>
      <c r="W258" s="347" t="str">
        <f t="shared" si="46"/>
        <v/>
      </c>
      <c r="X258" s="347" t="str">
        <f t="shared" si="46"/>
        <v/>
      </c>
      <c r="Y258" s="347" t="str">
        <f t="shared" si="46"/>
        <v/>
      </c>
      <c r="Z258" s="347" t="str">
        <f t="shared" si="46"/>
        <v/>
      </c>
      <c r="AA258" s="347" t="str">
        <f t="shared" si="46"/>
        <v/>
      </c>
      <c r="AB258" s="347" t="str">
        <f t="shared" si="46"/>
        <v/>
      </c>
      <c r="AC258" s="347" t="str">
        <f t="shared" si="46"/>
        <v/>
      </c>
      <c r="AD258" s="347" t="str">
        <f t="shared" si="46"/>
        <v/>
      </c>
      <c r="AE258" s="347" t="str">
        <f t="shared" si="46"/>
        <v/>
      </c>
      <c r="AF258" s="347" t="str">
        <f t="shared" si="46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47">IF(B226&lt;100,"",B226-620)</f>
        <v/>
      </c>
      <c r="C259" s="347" t="str">
        <f t="shared" si="47"/>
        <v/>
      </c>
      <c r="D259" s="347" t="str">
        <f t="shared" si="47"/>
        <v/>
      </c>
      <c r="E259" s="347" t="str">
        <f t="shared" si="47"/>
        <v/>
      </c>
      <c r="F259" s="347" t="str">
        <f t="shared" si="47"/>
        <v/>
      </c>
      <c r="G259" s="347" t="str">
        <f t="shared" si="47"/>
        <v/>
      </c>
      <c r="H259" s="347" t="str">
        <f t="shared" si="47"/>
        <v/>
      </c>
      <c r="I259" s="347" t="str">
        <f t="shared" si="47"/>
        <v/>
      </c>
      <c r="J259" s="347" t="str">
        <f t="shared" si="47"/>
        <v/>
      </c>
      <c r="K259" s="347" t="str">
        <f t="shared" si="47"/>
        <v/>
      </c>
      <c r="L259" s="347" t="str">
        <f t="shared" si="47"/>
        <v/>
      </c>
      <c r="M259" s="347" t="str">
        <f t="shared" si="47"/>
        <v/>
      </c>
      <c r="N259" s="347" t="str">
        <f t="shared" si="47"/>
        <v/>
      </c>
      <c r="O259" s="347" t="str">
        <f t="shared" si="47"/>
        <v/>
      </c>
      <c r="P259" s="347" t="str">
        <f t="shared" si="47"/>
        <v/>
      </c>
      <c r="Q259" s="347" t="str">
        <f t="shared" si="47"/>
        <v/>
      </c>
      <c r="R259" s="347" t="str">
        <f t="shared" si="47"/>
        <v/>
      </c>
      <c r="S259" s="347" t="str">
        <f t="shared" si="47"/>
        <v/>
      </c>
      <c r="T259" s="347" t="str">
        <f t="shared" si="47"/>
        <v/>
      </c>
      <c r="U259" s="347" t="str">
        <f t="shared" si="47"/>
        <v/>
      </c>
      <c r="V259" s="347" t="str">
        <f t="shared" si="47"/>
        <v/>
      </c>
      <c r="W259" s="347" t="str">
        <f t="shared" si="47"/>
        <v/>
      </c>
      <c r="X259" s="347" t="str">
        <f t="shared" si="47"/>
        <v/>
      </c>
      <c r="Y259" s="347" t="str">
        <f t="shared" si="47"/>
        <v/>
      </c>
      <c r="Z259" s="347" t="str">
        <f t="shared" si="47"/>
        <v/>
      </c>
      <c r="AA259" s="347" t="str">
        <f t="shared" si="47"/>
        <v/>
      </c>
      <c r="AB259" s="347" t="str">
        <f t="shared" si="47"/>
        <v/>
      </c>
      <c r="AC259" s="347" t="str">
        <f t="shared" si="47"/>
        <v/>
      </c>
      <c r="AD259" s="347" t="str">
        <f t="shared" si="47"/>
        <v/>
      </c>
      <c r="AE259" s="347" t="str">
        <f t="shared" si="47"/>
        <v/>
      </c>
      <c r="AF259" s="347" t="str">
        <f t="shared" si="47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48">IF(B227&lt;100,"",B227-330)</f>
        <v/>
      </c>
      <c r="C260" s="347" t="str">
        <f t="shared" si="48"/>
        <v/>
      </c>
      <c r="D260" s="347" t="str">
        <f t="shared" si="48"/>
        <v/>
      </c>
      <c r="E260" s="347" t="str">
        <f t="shared" si="48"/>
        <v/>
      </c>
      <c r="F260" s="347" t="str">
        <f t="shared" si="48"/>
        <v/>
      </c>
      <c r="G260" s="347" t="str">
        <f t="shared" si="48"/>
        <v/>
      </c>
      <c r="H260" s="347" t="str">
        <f t="shared" si="48"/>
        <v/>
      </c>
      <c r="I260" s="347" t="str">
        <f t="shared" si="48"/>
        <v/>
      </c>
      <c r="J260" s="347" t="str">
        <f t="shared" si="48"/>
        <v/>
      </c>
      <c r="K260" s="347" t="str">
        <f t="shared" si="48"/>
        <v/>
      </c>
      <c r="L260" s="347" t="str">
        <f t="shared" si="48"/>
        <v/>
      </c>
      <c r="M260" s="347" t="str">
        <f t="shared" si="48"/>
        <v/>
      </c>
      <c r="N260" s="347" t="str">
        <f t="shared" si="48"/>
        <v/>
      </c>
      <c r="O260" s="347" t="str">
        <f t="shared" si="48"/>
        <v/>
      </c>
      <c r="P260" s="347" t="str">
        <f t="shared" si="48"/>
        <v/>
      </c>
      <c r="Q260" s="347" t="str">
        <f t="shared" si="48"/>
        <v/>
      </c>
      <c r="R260" s="347" t="str">
        <f t="shared" si="48"/>
        <v/>
      </c>
      <c r="S260" s="347" t="str">
        <f t="shared" si="48"/>
        <v/>
      </c>
      <c r="T260" s="347" t="str">
        <f t="shared" si="48"/>
        <v/>
      </c>
      <c r="U260" s="347" t="str">
        <f t="shared" si="48"/>
        <v/>
      </c>
      <c r="V260" s="347" t="str">
        <f t="shared" si="48"/>
        <v/>
      </c>
      <c r="W260" s="347" t="str">
        <f t="shared" si="48"/>
        <v/>
      </c>
      <c r="X260" s="347" t="str">
        <f t="shared" si="48"/>
        <v/>
      </c>
      <c r="Y260" s="347" t="str">
        <f t="shared" si="48"/>
        <v/>
      </c>
      <c r="Z260" s="347" t="str">
        <f t="shared" si="48"/>
        <v/>
      </c>
      <c r="AA260" s="347" t="str">
        <f t="shared" si="48"/>
        <v/>
      </c>
      <c r="AB260" s="347" t="str">
        <f t="shared" si="48"/>
        <v/>
      </c>
      <c r="AC260" s="347" t="str">
        <f t="shared" si="48"/>
        <v/>
      </c>
      <c r="AD260" s="347" t="str">
        <f t="shared" si="48"/>
        <v/>
      </c>
      <c r="AE260" s="347" t="str">
        <f t="shared" si="48"/>
        <v/>
      </c>
      <c r="AF260" s="347" t="str">
        <f t="shared" si="48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49">IF(C228&lt;100,"",C228-1500)</f>
        <v/>
      </c>
      <c r="D261" s="347" t="str">
        <f t="shared" si="49"/>
        <v/>
      </c>
      <c r="E261" s="347" t="str">
        <f t="shared" si="49"/>
        <v/>
      </c>
      <c r="F261" s="347" t="str">
        <f t="shared" si="49"/>
        <v/>
      </c>
      <c r="G261" s="347" t="str">
        <f t="shared" si="49"/>
        <v/>
      </c>
      <c r="H261" s="347" t="str">
        <f t="shared" si="49"/>
        <v/>
      </c>
      <c r="I261" s="347" t="str">
        <f t="shared" si="49"/>
        <v/>
      </c>
      <c r="J261" s="347" t="str">
        <f t="shared" si="49"/>
        <v/>
      </c>
      <c r="K261" s="347" t="str">
        <f t="shared" si="49"/>
        <v/>
      </c>
      <c r="L261" s="347" t="str">
        <f t="shared" si="49"/>
        <v/>
      </c>
      <c r="M261" s="347" t="str">
        <f t="shared" si="49"/>
        <v/>
      </c>
      <c r="N261" s="347" t="str">
        <f t="shared" si="49"/>
        <v/>
      </c>
      <c r="O261" s="347" t="str">
        <f t="shared" si="49"/>
        <v/>
      </c>
      <c r="P261" s="347" t="str">
        <f t="shared" si="49"/>
        <v/>
      </c>
      <c r="Q261" s="347" t="str">
        <f t="shared" si="49"/>
        <v/>
      </c>
      <c r="R261" s="347" t="str">
        <f t="shared" si="49"/>
        <v/>
      </c>
      <c r="S261" s="347" t="str">
        <f t="shared" si="49"/>
        <v/>
      </c>
      <c r="T261" s="347" t="str">
        <f t="shared" si="49"/>
        <v/>
      </c>
      <c r="U261" s="347" t="str">
        <f t="shared" si="49"/>
        <v/>
      </c>
      <c r="V261" s="347" t="str">
        <f t="shared" si="49"/>
        <v/>
      </c>
      <c r="W261" s="347" t="str">
        <f t="shared" si="49"/>
        <v/>
      </c>
      <c r="X261" s="347" t="str">
        <f t="shared" si="49"/>
        <v/>
      </c>
      <c r="Y261" s="347" t="str">
        <f t="shared" si="49"/>
        <v/>
      </c>
      <c r="Z261" s="347" t="str">
        <f t="shared" si="49"/>
        <v/>
      </c>
      <c r="AA261" s="347" t="str">
        <f t="shared" si="49"/>
        <v/>
      </c>
      <c r="AB261" s="347" t="str">
        <f t="shared" si="49"/>
        <v/>
      </c>
      <c r="AC261" s="347" t="str">
        <f t="shared" si="49"/>
        <v/>
      </c>
      <c r="AD261" s="347" t="str">
        <f t="shared" si="49"/>
        <v/>
      </c>
      <c r="AE261" s="347" t="str">
        <f t="shared" si="49"/>
        <v/>
      </c>
      <c r="AF261" s="347" t="str">
        <f t="shared" si="49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B9:AF10 C99:Y99 C101:Y106 AA101:AF106 AA99:AF99">
    <cfRule type="expression" dxfId="1153" priority="377">
      <formula>B$9&gt;=20/24</formula>
    </cfRule>
    <cfRule type="expression" dxfId="1152" priority="378">
      <formula>AND(B$9&gt;=14/24,B$9&lt;20/24)</formula>
    </cfRule>
    <cfRule type="expression" dxfId="1151" priority="379">
      <formula>AND(B$9&gt;=8/24,B$9&lt;14/24)</formula>
    </cfRule>
    <cfRule type="expression" dxfId="1150" priority="380">
      <formula>B$9&lt;8/24</formula>
    </cfRule>
  </conditionalFormatting>
  <conditionalFormatting sqref="AL4:AL6">
    <cfRule type="iconSet" priority="376">
      <iconSet iconSet="3TrafficLights2" reverse="1">
        <cfvo type="percent" val="0"/>
        <cfvo type="num" val="1"/>
        <cfvo type="num" val="1"/>
      </iconSet>
    </cfRule>
  </conditionalFormatting>
  <conditionalFormatting sqref="AF37">
    <cfRule type="expression" dxfId="1149" priority="372">
      <formula>AF$9&gt;=20/24</formula>
    </cfRule>
    <cfRule type="expression" dxfId="1148" priority="373">
      <formula>AND(AF$9&gt;=14/24,AF$9&lt;20/24)</formula>
    </cfRule>
    <cfRule type="expression" dxfId="1147" priority="374">
      <formula>AND(AF$9&gt;=8/24,AF$9&lt;14/24)</formula>
    </cfRule>
    <cfRule type="expression" dxfId="1146" priority="375">
      <formula>AF$9&lt;8/24</formula>
    </cfRule>
  </conditionalFormatting>
  <conditionalFormatting sqref="AG55 AF37 B12:B16 C11:Y16 B35:Y35">
    <cfRule type="expression" dxfId="1145" priority="371">
      <formula>B11&gt;$AG11</formula>
    </cfRule>
  </conditionalFormatting>
  <conditionalFormatting sqref="A89:A99 A11:A14 A49:A76 A85:A87 A192:A222 A16:A30 A36:A47 A108:A179 A32:A33 A81:A83 A78:A79 A101:A103">
    <cfRule type="expression" dxfId="1144" priority="370">
      <formula>$AH11=0</formula>
    </cfRule>
  </conditionalFormatting>
  <conditionalFormatting sqref="A104">
    <cfRule type="expression" dxfId="1143" priority="369">
      <formula>$AH104=0</formula>
    </cfRule>
  </conditionalFormatting>
  <conditionalFormatting sqref="AL33">
    <cfRule type="iconSet" priority="368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1142" priority="367">
      <formula>$AH35=0</formula>
    </cfRule>
  </conditionalFormatting>
  <conditionalFormatting sqref="A88">
    <cfRule type="expression" dxfId="1141" priority="366">
      <formula>$AH88=0</formula>
    </cfRule>
  </conditionalFormatting>
  <conditionalFormatting sqref="A15">
    <cfRule type="expression" dxfId="1140" priority="365">
      <formula>$AH15=0</formula>
    </cfRule>
  </conditionalFormatting>
  <conditionalFormatting sqref="A186:A191">
    <cfRule type="expression" dxfId="1139" priority="364">
      <formula>$AH186=0</formula>
    </cfRule>
  </conditionalFormatting>
  <conditionalFormatting sqref="A180:A185">
    <cfRule type="expression" dxfId="1138" priority="363">
      <formula>$AH180=0</formula>
    </cfRule>
  </conditionalFormatting>
  <conditionalFormatting sqref="A48">
    <cfRule type="expression" dxfId="1137" priority="362">
      <formula>$AH48=0</formula>
    </cfRule>
  </conditionalFormatting>
  <conditionalFormatting sqref="A84">
    <cfRule type="expression" dxfId="1136" priority="361">
      <formula>$AH84=0</formula>
    </cfRule>
  </conditionalFormatting>
  <conditionalFormatting sqref="D89:Y89 AA89:AF89">
    <cfRule type="expression" dxfId="1135" priority="357">
      <formula>D$9&gt;=20/24</formula>
    </cfRule>
    <cfRule type="expression" dxfId="1134" priority="358">
      <formula>AND(D$9&gt;=14/24,D$9&lt;20/24)</formula>
    </cfRule>
    <cfRule type="expression" dxfId="1133" priority="359">
      <formula>AND(D$9&gt;=8/24,D$9&lt;14/24)</formula>
    </cfRule>
    <cfRule type="expression" dxfId="1132" priority="360">
      <formula>D$9&lt;8/24</formula>
    </cfRule>
  </conditionalFormatting>
  <conditionalFormatting sqref="AL34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31" priority="383">
      <formula>C$9&gt;=20/24</formula>
    </cfRule>
    <cfRule type="expression" dxfId="1130" priority="384">
      <formula>AND(C$9&gt;=14/24,C$9&lt;20/24)</formula>
    </cfRule>
    <cfRule type="expression" dxfId="1129" priority="385">
      <formula>AND(C$9&gt;=8/24,C$9&lt;14/24)</formula>
    </cfRule>
    <cfRule type="expression" dxfId="1128" priority="386">
      <formula>C$9&lt;8/24</formula>
    </cfRule>
  </conditionalFormatting>
  <conditionalFormatting sqref="A223">
    <cfRule type="expression" dxfId="1127" priority="387">
      <formula>$AH223=0</formula>
    </cfRule>
  </conditionalFormatting>
  <conditionalFormatting sqref="AG235">
    <cfRule type="expression" dxfId="1126" priority="388">
      <formula>B$9&gt;=20/24</formula>
    </cfRule>
    <cfRule type="expression" dxfId="1125" priority="389">
      <formula>AND(B$9&gt;=14/24,B$9&lt;20/24)</formula>
    </cfRule>
    <cfRule type="expression" dxfId="1124" priority="390">
      <formula>AND(B$9&gt;=8/24,B$9&lt;14/24)</formula>
    </cfRule>
    <cfRule type="expression" dxfId="1123" priority="391">
      <formula>B$9&lt;8/24</formula>
    </cfRule>
  </conditionalFormatting>
  <conditionalFormatting sqref="S8">
    <cfRule type="expression" dxfId="1122" priority="352">
      <formula>U$9&gt;=20/24</formula>
    </cfRule>
    <cfRule type="expression" dxfId="1121" priority="353">
      <formula>AND(U$9&gt;=14/24,U$9&lt;20/24)</formula>
    </cfRule>
    <cfRule type="expression" dxfId="1120" priority="354">
      <formula>AND(U$9&gt;=8/24,U$9&lt;14/24)</formula>
    </cfRule>
    <cfRule type="expression" dxfId="1119" priority="355">
      <formula>U$9&lt;8/24</formula>
    </cfRule>
  </conditionalFormatting>
  <conditionalFormatting sqref="AB8">
    <cfRule type="expression" dxfId="1118" priority="348">
      <formula>AD$9&gt;=20/24</formula>
    </cfRule>
    <cfRule type="expression" dxfId="1117" priority="349">
      <formula>AND(AD$9&gt;=14/24,AD$9&lt;20/24)</formula>
    </cfRule>
    <cfRule type="expression" dxfId="1116" priority="350">
      <formula>AND(AD$9&gt;=8/24,AD$9&lt;14/24)</formula>
    </cfRule>
    <cfRule type="expression" dxfId="1115" priority="351">
      <formula>AD$9&lt;8/24</formula>
    </cfRule>
  </conditionalFormatting>
  <conditionalFormatting sqref="AH235:AX235">
    <cfRule type="expression" dxfId="1114" priority="392">
      <formula>AG$9&gt;=20/24</formula>
    </cfRule>
    <cfRule type="expression" dxfId="1113" priority="393">
      <formula>AND(AG$9&gt;=14/24,AG$9&lt;20/24)</formula>
    </cfRule>
    <cfRule type="expression" dxfId="1112" priority="394">
      <formula>AND(AG$9&gt;=8/24,AG$9&lt;14/24)</formula>
    </cfRule>
    <cfRule type="expression" dxfId="1111" priority="395">
      <formula>AG$9&lt;8/24</formula>
    </cfRule>
  </conditionalFormatting>
  <conditionalFormatting sqref="T235">
    <cfRule type="expression" dxfId="1110" priority="396">
      <formula>AX$9&gt;=20/24</formula>
    </cfRule>
    <cfRule type="expression" dxfId="1109" priority="397">
      <formula>AND(AX$9&gt;=14/24,AX$9&lt;20/24)</formula>
    </cfRule>
    <cfRule type="expression" dxfId="1108" priority="398">
      <formula>AND(AX$9&gt;=8/24,AX$9&lt;14/24)</formula>
    </cfRule>
    <cfRule type="expression" dxfId="1107" priority="399">
      <formula>AX$9&lt;8/24</formula>
    </cfRule>
  </conditionalFormatting>
  <conditionalFormatting sqref="A105:A106">
    <cfRule type="expression" dxfId="1106" priority="347">
      <formula>$AH105=0</formula>
    </cfRule>
  </conditionalFormatting>
  <conditionalFormatting sqref="E44:L45 Y44:Y45 T44:W45 C61:Y61 AA44:AF45 AA61:AF61">
    <cfRule type="expression" dxfId="1105" priority="343">
      <formula>C$9&gt;=20/24</formula>
    </cfRule>
    <cfRule type="expression" dxfId="1104" priority="344">
      <formula>AND(C$9&gt;=14/24,C$9&lt;20/24)</formula>
    </cfRule>
    <cfRule type="expression" dxfId="1103" priority="345">
      <formula>AND(C$9&gt;=8/24,C$9&lt;14/24)</formula>
    </cfRule>
    <cfRule type="expression" dxfId="1102" priority="346">
      <formula>C$9&lt;8/24</formula>
    </cfRule>
  </conditionalFormatting>
  <conditionalFormatting sqref="E43:L43 Y43 T43:W43 AA43:AF43">
    <cfRule type="expression" dxfId="1101" priority="339">
      <formula>E$9&gt;=20/24</formula>
    </cfRule>
    <cfRule type="expression" dxfId="1100" priority="340">
      <formula>AND(E$9&gt;=14/24,E$9&lt;20/24)</formula>
    </cfRule>
    <cfRule type="expression" dxfId="1099" priority="341">
      <formula>AND(E$9&gt;=8/24,E$9&lt;14/24)</formula>
    </cfRule>
    <cfRule type="expression" dxfId="1098" priority="342">
      <formula>E$9&lt;8/24</formula>
    </cfRule>
  </conditionalFormatting>
  <conditionalFormatting sqref="E43:L45 Y43:Y45 T43:W45 AA43:AF45">
    <cfRule type="expression" dxfId="1097" priority="338">
      <formula>E43&gt;$AG43</formula>
    </cfRule>
  </conditionalFormatting>
  <conditionalFormatting sqref="C86:Y86 C76:Y76 E67:K67 M68:R70 L66:R67 E64:R65 E71:R71 C62:R63 D57:Y59 S62:Y71 E73:Y75 D90:Y96 N37:Y37 AA90:AF96 AA86:AF86 AA73:AF76 AA57:AF59 AA62:AF71">
    <cfRule type="expression" dxfId="1096" priority="334">
      <formula>C$9&gt;=20/24</formula>
    </cfRule>
    <cfRule type="expression" dxfId="1095" priority="335">
      <formula>AND(C$9&gt;=14/24,C$9&lt;20/24)</formula>
    </cfRule>
    <cfRule type="expression" dxfId="1094" priority="336">
      <formula>AND(C$9&gt;=8/24,C$9&lt;14/24)</formula>
    </cfRule>
    <cfRule type="expression" dxfId="1093" priority="337">
      <formula>C$9&lt;8/24</formula>
    </cfRule>
  </conditionalFormatting>
  <conditionalFormatting sqref="E46:L46 AF46:AF47 C55:Y55 G47:L47 D57:Y59 E37:Y37 AA55:AF55 AA57:AF59">
    <cfRule type="expression" dxfId="1092" priority="329">
      <formula>C37&gt;$AG37</formula>
    </cfRule>
  </conditionalFormatting>
  <conditionalFormatting sqref="X46:Y47 AF48 AA46:AE47">
    <cfRule type="expression" dxfId="1091" priority="308">
      <formula>X$9&gt;=20/24</formula>
    </cfRule>
    <cfRule type="expression" dxfId="1090" priority="309">
      <formula>AND(X$9&gt;=14/24,X$9&lt;20/24)</formula>
    </cfRule>
    <cfRule type="expression" dxfId="1089" priority="310">
      <formula>AND(X$9&gt;=8/24,X$9&lt;14/24)</formula>
    </cfRule>
    <cfRule type="expression" dxfId="1088" priority="311">
      <formula>X$9&lt;8/24</formula>
    </cfRule>
  </conditionalFormatting>
  <conditionalFormatting sqref="X46:Y47 AF48 AA46:AE47">
    <cfRule type="expression" dxfId="1087" priority="307">
      <formula>X46&gt;$AG46</formula>
    </cfRule>
  </conditionalFormatting>
  <conditionalFormatting sqref="X48:Y54 M43:S54 T46:W54 AA48:AE54 AF49:AF54">
    <cfRule type="expression" dxfId="1086" priority="303">
      <formula>M$9&gt;=20/24</formula>
    </cfRule>
    <cfRule type="expression" dxfId="1085" priority="304">
      <formula>AND(M$9&gt;=14/24,M$9&lt;20/24)</formula>
    </cfRule>
    <cfRule type="expression" dxfId="1084" priority="305">
      <formula>AND(M$9&gt;=8/24,M$9&lt;14/24)</formula>
    </cfRule>
    <cfRule type="expression" dxfId="1083" priority="306">
      <formula>M$9&lt;8/24</formula>
    </cfRule>
  </conditionalFormatting>
  <conditionalFormatting sqref="X48:Y54 M43:S54 T46:W54 AA48:AE54 AF49:AF54">
    <cfRule type="expression" dxfId="1082" priority="302">
      <formula>M43&gt;$AG43</formula>
    </cfRule>
  </conditionalFormatting>
  <conditionalFormatting sqref="J29:Y29 C11:Y14 C25:Y26 C16:Y20">
    <cfRule type="expression" dxfId="1081" priority="294">
      <formula>C$9&gt;=20/24</formula>
    </cfRule>
    <cfRule type="expression" dxfId="1080" priority="295">
      <formula>AND(C$9&gt;=14/24,C$9&lt;20/24)</formula>
    </cfRule>
    <cfRule type="expression" dxfId="1079" priority="296">
      <formula>AND(C$9&gt;=8/24,C$9&lt;14/24)</formula>
    </cfRule>
    <cfRule type="expression" dxfId="1078" priority="297">
      <formula>C$9&lt;8/24</formula>
    </cfRule>
  </conditionalFormatting>
  <conditionalFormatting sqref="J29:Y29 C25:Y26 C17:Y20">
    <cfRule type="expression" dxfId="1077" priority="289">
      <formula>C17&gt;$AG17</formula>
    </cfRule>
  </conditionalFormatting>
  <conditionalFormatting sqref="C15:Y15">
    <cfRule type="expression" dxfId="1076" priority="281">
      <formula>C$9&gt;=20/24</formula>
    </cfRule>
    <cfRule type="expression" dxfId="1075" priority="282">
      <formula>AND(C$9&gt;=14/24,C$9&lt;20/24)</formula>
    </cfRule>
    <cfRule type="expression" dxfId="1074" priority="283">
      <formula>AND(C$9&gt;=8/24,C$9&lt;14/24)</formula>
    </cfRule>
    <cfRule type="expression" dxfId="1073" priority="284">
      <formula>C$9&lt;8/24</formula>
    </cfRule>
  </conditionalFormatting>
  <conditionalFormatting sqref="D44:D45">
    <cfRule type="expression" dxfId="1072" priority="272">
      <formula>D$9&gt;=20/24</formula>
    </cfRule>
    <cfRule type="expression" dxfId="1071" priority="273">
      <formula>AND(D$9&gt;=14/24,D$9&lt;20/24)</formula>
    </cfRule>
    <cfRule type="expression" dxfId="1070" priority="274">
      <formula>AND(D$9&gt;=8/24,D$9&lt;14/24)</formula>
    </cfRule>
    <cfRule type="expression" dxfId="1069" priority="275">
      <formula>D$9&lt;8/24</formula>
    </cfRule>
  </conditionalFormatting>
  <conditionalFormatting sqref="D43">
    <cfRule type="expression" dxfId="1068" priority="268">
      <formula>D$9&gt;=20/24</formula>
    </cfRule>
    <cfRule type="expression" dxfId="1067" priority="269">
      <formula>AND(D$9&gt;=14/24,D$9&lt;20/24)</formula>
    </cfRule>
    <cfRule type="expression" dxfId="1066" priority="270">
      <formula>AND(D$9&gt;=8/24,D$9&lt;14/24)</formula>
    </cfRule>
    <cfRule type="expression" dxfId="1065" priority="271">
      <formula>D$9&lt;8/24</formula>
    </cfRule>
  </conditionalFormatting>
  <conditionalFormatting sqref="D43:D45">
    <cfRule type="expression" dxfId="1064" priority="267">
      <formula>D43&gt;$AG43</formula>
    </cfRule>
  </conditionalFormatting>
  <conditionalFormatting sqref="E68:L70">
    <cfRule type="expression" dxfId="1063" priority="263">
      <formula>E$9&gt;=20/24</formula>
    </cfRule>
    <cfRule type="expression" dxfId="1062" priority="264">
      <formula>AND(E$9&gt;=14/24,E$9&lt;20/24)</formula>
    </cfRule>
    <cfRule type="expression" dxfId="1061" priority="265">
      <formula>AND(E$9&gt;=8/24,E$9&lt;14/24)</formula>
    </cfRule>
    <cfRule type="expression" dxfId="1060" priority="266">
      <formula>E$9&lt;8/24</formula>
    </cfRule>
  </conditionalFormatting>
  <conditionalFormatting sqref="D46:D47 E47:F47">
    <cfRule type="expression" dxfId="1059" priority="262">
      <formula>D46&gt;$AG46</formula>
    </cfRule>
  </conditionalFormatting>
  <conditionalFormatting sqref="D48:L54">
    <cfRule type="expression" dxfId="1058" priority="258">
      <formula>D$9&gt;=20/24</formula>
    </cfRule>
    <cfRule type="expression" dxfId="1057" priority="259">
      <formula>AND(D$9&gt;=14/24,D$9&lt;20/24)</formula>
    </cfRule>
    <cfRule type="expression" dxfId="1056" priority="260">
      <formula>AND(D$9&gt;=8/24,D$9&lt;14/24)</formula>
    </cfRule>
    <cfRule type="expression" dxfId="1055" priority="261">
      <formula>D$9&lt;8/24</formula>
    </cfRule>
  </conditionalFormatting>
  <conditionalFormatting sqref="D48:L54">
    <cfRule type="expression" dxfId="1054" priority="257">
      <formula>D48&gt;$AG48</formula>
    </cfRule>
  </conditionalFormatting>
  <conditionalFormatting sqref="X44:X45">
    <cfRule type="expression" dxfId="1053" priority="253">
      <formula>X$9&gt;=20/24</formula>
    </cfRule>
    <cfRule type="expression" dxfId="1052" priority="254">
      <formula>AND(X$9&gt;=14/24,X$9&lt;20/24)</formula>
    </cfRule>
    <cfRule type="expression" dxfId="1051" priority="255">
      <formula>AND(X$9&gt;=8/24,X$9&lt;14/24)</formula>
    </cfRule>
    <cfRule type="expression" dxfId="1050" priority="256">
      <formula>X$9&lt;8/24</formula>
    </cfRule>
  </conditionalFormatting>
  <conditionalFormatting sqref="X43">
    <cfRule type="expression" dxfId="1049" priority="249">
      <formula>X$9&gt;=20/24</formula>
    </cfRule>
    <cfRule type="expression" dxfId="1048" priority="250">
      <formula>AND(X$9&gt;=14/24,X$9&lt;20/24)</formula>
    </cfRule>
    <cfRule type="expression" dxfId="1047" priority="251">
      <formula>AND(X$9&gt;=8/24,X$9&lt;14/24)</formula>
    </cfRule>
    <cfRule type="expression" dxfId="1046" priority="252">
      <formula>X$9&lt;8/24</formula>
    </cfRule>
  </conditionalFormatting>
  <conditionalFormatting sqref="X43:X45">
    <cfRule type="expression" dxfId="1045" priority="248">
      <formula>X43&gt;$AG43</formula>
    </cfRule>
  </conditionalFormatting>
  <conditionalFormatting sqref="B99 B11 B78:Y78 B87:Y87 B101:B106 AA87:AF87 AA78:AF78">
    <cfRule type="expression" dxfId="1044" priority="244">
      <formula>B$9&gt;=20/24</formula>
    </cfRule>
    <cfRule type="expression" dxfId="1043" priority="245">
      <formula>AND(B$9&gt;=14/24,B$9&lt;20/24)</formula>
    </cfRule>
    <cfRule type="expression" dxfId="1042" priority="246">
      <formula>AND(B$9&gt;=8/24,B$9&lt;14/24)</formula>
    </cfRule>
    <cfRule type="expression" dxfId="1041" priority="247">
      <formula>B$9&lt;8/24</formula>
    </cfRule>
  </conditionalFormatting>
  <conditionalFormatting sqref="B37:D37">
    <cfRule type="expression" dxfId="1040" priority="240">
      <formula>B$9&gt;=20/24</formula>
    </cfRule>
    <cfRule type="expression" dxfId="1039" priority="241">
      <formula>AND(B$9&gt;=14/24,B$9&lt;20/24)</formula>
    </cfRule>
    <cfRule type="expression" dxfId="1038" priority="242">
      <formula>AND(B$9&gt;=8/24,B$9&lt;14/24)</formula>
    </cfRule>
    <cfRule type="expression" dxfId="1037" priority="243">
      <formula>B$9&lt;8/24</formula>
    </cfRule>
  </conditionalFormatting>
  <conditionalFormatting sqref="B11 B37:D37">
    <cfRule type="expression" dxfId="1036" priority="239">
      <formula>B11&gt;$AG11</formula>
    </cfRule>
  </conditionalFormatting>
  <conditionalFormatting sqref="B89:C89">
    <cfRule type="expression" dxfId="1035" priority="235">
      <formula>B$9&gt;=20/24</formula>
    </cfRule>
    <cfRule type="expression" dxfId="1034" priority="236">
      <formula>AND(B$9&gt;=14/24,B$9&lt;20/24)</formula>
    </cfRule>
    <cfRule type="expression" dxfId="1033" priority="237">
      <formula>AND(B$9&gt;=8/24,B$9&lt;14/24)</formula>
    </cfRule>
    <cfRule type="expression" dxfId="1032" priority="238">
      <formula>B$9&lt;8/24</formula>
    </cfRule>
  </conditionalFormatting>
  <conditionalFormatting sqref="B61 B44:C45 B36:Y36">
    <cfRule type="expression" dxfId="1031" priority="231">
      <formula>B$9&gt;=20/24</formula>
    </cfRule>
    <cfRule type="expression" dxfId="1030" priority="232">
      <formula>AND(B$9&gt;=14/24,B$9&lt;20/24)</formula>
    </cfRule>
    <cfRule type="expression" dxfId="1029" priority="233">
      <formula>AND(B$9&gt;=8/24,B$9&lt;14/24)</formula>
    </cfRule>
    <cfRule type="expression" dxfId="1028" priority="234">
      <formula>B$9&lt;8/24</formula>
    </cfRule>
  </conditionalFormatting>
  <conditionalFormatting sqref="B43:C43">
    <cfRule type="expression" dxfId="1027" priority="227">
      <formula>B$9&gt;=20/24</formula>
    </cfRule>
    <cfRule type="expression" dxfId="1026" priority="228">
      <formula>AND(B$9&gt;=14/24,B$9&lt;20/24)</formula>
    </cfRule>
    <cfRule type="expression" dxfId="1025" priority="229">
      <formula>AND(B$9&gt;=8/24,B$9&lt;14/24)</formula>
    </cfRule>
    <cfRule type="expression" dxfId="1024" priority="230">
      <formula>B$9&lt;8/24</formula>
    </cfRule>
  </conditionalFormatting>
  <conditionalFormatting sqref="B43:C45 B36:Y36">
    <cfRule type="expression" dxfId="1023" priority="226">
      <formula>B36&gt;$AG36</formula>
    </cfRule>
  </conditionalFormatting>
  <conditionalFormatting sqref="B12:B14 B16 B18:B22 B24:B26 B57:B60 B62:B71 B73:B77 B79:Y79 B86 C60:Y60 C77:Y77 B88:Y88 C57:C59 B90:C96 C64:D65 C73:D75 C67:D71 B28:I32 C66:K66 C21:Y22 C24:Y24 J28:Y28 J30:Y32 AA88:AF88 AA77:AG77 AA60:AG60 AA79:AF79">
    <cfRule type="expression" dxfId="1022" priority="222">
      <formula>B$9&gt;=20/24</formula>
    </cfRule>
    <cfRule type="expression" dxfId="1021" priority="223">
      <formula>AND(B$9&gt;=14/24,B$9&lt;20/24)</formula>
    </cfRule>
    <cfRule type="expression" dxfId="1020" priority="224">
      <formula>AND(B$9&gt;=8/24,B$9&lt;14/24)</formula>
    </cfRule>
    <cfRule type="expression" dxfId="1019" priority="225">
      <formula>B$9&lt;8/24</formula>
    </cfRule>
  </conditionalFormatting>
  <conditionalFormatting sqref="B33:Y33">
    <cfRule type="expression" dxfId="1018" priority="218">
      <formula>B$9&gt;=20/24</formula>
    </cfRule>
    <cfRule type="expression" dxfId="1017" priority="219">
      <formula>AND(B$9&gt;=14/24,B$9&lt;20/24)</formula>
    </cfRule>
    <cfRule type="expression" dxfId="1016" priority="220">
      <formula>AND(B$9&gt;=8/24,B$9&lt;14/24)</formula>
    </cfRule>
    <cfRule type="expression" dxfId="1015" priority="221">
      <formula>B$9&lt;8/24</formula>
    </cfRule>
  </conditionalFormatting>
  <conditionalFormatting sqref="B18:B22 B55:B60 B38:Y38 C56:Y56 C60:Y60 B24:B33 B46:C47 C57:C59 C27:I33 C21:Y22 C24:Y24 J27:Y28 J30:Y33 AA60:AG60 AA56:AG56 AA38:AG38">
    <cfRule type="expression" dxfId="1014" priority="217">
      <formula>B18&gt;$AG18</formula>
    </cfRule>
  </conditionalFormatting>
  <conditionalFormatting sqref="B35:Y35">
    <cfRule type="expression" dxfId="1013" priority="213">
      <formula>B$9&gt;=20/24</formula>
    </cfRule>
    <cfRule type="expression" dxfId="1012" priority="214">
      <formula>AND(B$9&gt;=14/24,B$9&lt;20/24)</formula>
    </cfRule>
    <cfRule type="expression" dxfId="1011" priority="215">
      <formula>AND(B$9&gt;=8/24,B$9&lt;14/24)</formula>
    </cfRule>
    <cfRule type="expression" dxfId="1010" priority="216">
      <formula>B$9&lt;8/24</formula>
    </cfRule>
  </conditionalFormatting>
  <conditionalFormatting sqref="B15">
    <cfRule type="expression" dxfId="1009" priority="209">
      <formula>B$9&gt;=20/24</formula>
    </cfRule>
    <cfRule type="expression" dxfId="1008" priority="210">
      <formula>AND(B$9&gt;=14/24,B$9&lt;20/24)</formula>
    </cfRule>
    <cfRule type="expression" dxfId="1007" priority="211">
      <formula>AND(B$9&gt;=8/24,B$9&lt;14/24)</formula>
    </cfRule>
    <cfRule type="expression" dxfId="1006" priority="212">
      <formula>B$9&lt;8/24</formula>
    </cfRule>
  </conditionalFormatting>
  <conditionalFormatting sqref="B34:Y34">
    <cfRule type="expression" dxfId="1005" priority="205">
      <formula>B$9&gt;=20/24</formula>
    </cfRule>
    <cfRule type="expression" dxfId="1004" priority="206">
      <formula>AND(B$9&gt;=14/24,B$9&lt;20/24)</formula>
    </cfRule>
    <cfRule type="expression" dxfId="1003" priority="207">
      <formula>AND(B$9&gt;=8/24,B$9&lt;14/24)</formula>
    </cfRule>
    <cfRule type="expression" dxfId="1002" priority="208">
      <formula>B$9&lt;8/24</formula>
    </cfRule>
  </conditionalFormatting>
  <conditionalFormatting sqref="B34:Y34">
    <cfRule type="expression" dxfId="1001" priority="204">
      <formula>B34&gt;$AG34</formula>
    </cfRule>
  </conditionalFormatting>
  <conditionalFormatting sqref="B48:C54">
    <cfRule type="expression" dxfId="1000" priority="200">
      <formula>B$9&gt;=20/24</formula>
    </cfRule>
    <cfRule type="expression" dxfId="999" priority="201">
      <formula>AND(B$9&gt;=14/24,B$9&lt;20/24)</formula>
    </cfRule>
    <cfRule type="expression" dxfId="998" priority="202">
      <formula>AND(B$9&gt;=8/24,B$9&lt;14/24)</formula>
    </cfRule>
    <cfRule type="expression" dxfId="997" priority="203">
      <formula>B$9&lt;8/24</formula>
    </cfRule>
  </conditionalFormatting>
  <conditionalFormatting sqref="B48:C54">
    <cfRule type="expression" dxfId="996" priority="199">
      <formula>B48&gt;$AG48</formula>
    </cfRule>
  </conditionalFormatting>
  <conditionalFormatting sqref="B27:Y27">
    <cfRule type="expression" dxfId="995" priority="195">
      <formula>B$9&gt;=20/24</formula>
    </cfRule>
    <cfRule type="expression" dxfId="994" priority="196">
      <formula>AND(B$9&gt;=14/24,B$9&lt;20/24)</formula>
    </cfRule>
    <cfRule type="expression" dxfId="993" priority="197">
      <formula>AND(B$9&gt;=8/24,B$9&lt;14/24)</formula>
    </cfRule>
    <cfRule type="expression" dxfId="992" priority="198">
      <formula>B$9&lt;8/24</formula>
    </cfRule>
  </conditionalFormatting>
  <conditionalFormatting sqref="B17 B23:Y23">
    <cfRule type="expression" dxfId="991" priority="191">
      <formula>B$9&gt;=20/24</formula>
    </cfRule>
    <cfRule type="expression" dxfId="990" priority="192">
      <formula>AND(B$9&gt;=14/24,B$9&lt;20/24)</formula>
    </cfRule>
    <cfRule type="expression" dxfId="989" priority="193">
      <formula>AND(B$9&gt;=8/24,B$9&lt;14/24)</formula>
    </cfRule>
    <cfRule type="expression" dxfId="988" priority="194">
      <formula>B$9&lt;8/24</formula>
    </cfRule>
  </conditionalFormatting>
  <conditionalFormatting sqref="B17 B23:Y23">
    <cfRule type="expression" dxfId="987" priority="190">
      <formula>B17&gt;$AG17</formula>
    </cfRule>
  </conditionalFormatting>
  <conditionalFormatting sqref="A34">
    <cfRule type="expression" dxfId="986" priority="189">
      <formula>$AH34=0</formula>
    </cfRule>
  </conditionalFormatting>
  <conditionalFormatting sqref="B72:Y72 AA72:AF72">
    <cfRule type="expression" dxfId="985" priority="185">
      <formula>B$9&gt;=20/24</formula>
    </cfRule>
    <cfRule type="expression" dxfId="984" priority="186">
      <formula>AND(B$9&gt;=14/24,B$9&lt;20/24)</formula>
    </cfRule>
    <cfRule type="expression" dxfId="983" priority="187">
      <formula>AND(B$9&gt;=8/24,B$9&lt;14/24)</formula>
    </cfRule>
    <cfRule type="expression" dxfId="982" priority="188">
      <formula>B$9&lt;8/24</formula>
    </cfRule>
  </conditionalFormatting>
  <conditionalFormatting sqref="B81:Y85 AA81:AF85">
    <cfRule type="expression" dxfId="981" priority="181">
      <formula>B$9&gt;=20/24</formula>
    </cfRule>
    <cfRule type="expression" dxfId="980" priority="182">
      <formula>AND(B$9&gt;=14/24,B$9&lt;20/24)</formula>
    </cfRule>
    <cfRule type="expression" dxfId="979" priority="183">
      <formula>AND(B$9&gt;=8/24,B$9&lt;14/24)</formula>
    </cfRule>
    <cfRule type="expression" dxfId="978" priority="184">
      <formula>B$9&lt;8/24</formula>
    </cfRule>
  </conditionalFormatting>
  <conditionalFormatting sqref="AL35 AL7:AL25 AL32 AL27:AL30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I39:Y41 AA39:AF41">
    <cfRule type="expression" dxfId="977" priority="177">
      <formula>I$9&gt;=20/24</formula>
    </cfRule>
    <cfRule type="expression" dxfId="976" priority="178">
      <formula>AND(I$9&gt;=14/24,I$9&lt;20/24)</formula>
    </cfRule>
    <cfRule type="expression" dxfId="975" priority="179">
      <formula>AND(I$9&gt;=8/24,I$9&lt;14/24)</formula>
    </cfRule>
    <cfRule type="expression" dxfId="974" priority="180">
      <formula>I$9&lt;8/24</formula>
    </cfRule>
  </conditionalFormatting>
  <conditionalFormatting sqref="I39:Y41 AA39:AF41">
    <cfRule type="expression" dxfId="973" priority="176">
      <formula>I39&gt;$AG39</formula>
    </cfRule>
  </conditionalFormatting>
  <conditionalFormatting sqref="B39:B42 C42:Y42 C39:H41 AA42:AG42">
    <cfRule type="expression" dxfId="972" priority="172">
      <formula>B$9&gt;=20/24</formula>
    </cfRule>
    <cfRule type="expression" dxfId="971" priority="173">
      <formula>AND(B$9&gt;=14/24,B$9&lt;20/24)</formula>
    </cfRule>
    <cfRule type="expression" dxfId="970" priority="174">
      <formula>AND(B$9&gt;=8/24,B$9&lt;14/24)</formula>
    </cfRule>
    <cfRule type="expression" dxfId="969" priority="175">
      <formula>B$9&lt;8/24</formula>
    </cfRule>
  </conditionalFormatting>
  <conditionalFormatting sqref="B39:B42 C42:Y42 C39:H41 AA42:AG42">
    <cfRule type="expression" dxfId="968" priority="171">
      <formula>B39&gt;$AG39</formula>
    </cfRule>
  </conditionalFormatting>
  <conditionalFormatting sqref="C97:Y97 AA97:AF97">
    <cfRule type="expression" dxfId="967" priority="167">
      <formula>C$9&gt;=20/24</formula>
    </cfRule>
    <cfRule type="expression" dxfId="966" priority="168">
      <formula>AND(C$9&gt;=14/24,C$9&lt;20/24)</formula>
    </cfRule>
    <cfRule type="expression" dxfId="965" priority="169">
      <formula>AND(C$9&gt;=8/24,C$9&lt;14/24)</formula>
    </cfRule>
    <cfRule type="expression" dxfId="964" priority="170">
      <formula>C$9&lt;8/24</formula>
    </cfRule>
  </conditionalFormatting>
  <conditionalFormatting sqref="B97">
    <cfRule type="expression" dxfId="963" priority="163">
      <formula>B$9&gt;=20/24</formula>
    </cfRule>
    <cfRule type="expression" dxfId="962" priority="164">
      <formula>AND(B$9&gt;=14/24,B$9&lt;20/24)</formula>
    </cfRule>
    <cfRule type="expression" dxfId="961" priority="165">
      <formula>AND(B$9&gt;=8/24,B$9&lt;14/24)</formula>
    </cfRule>
    <cfRule type="expression" dxfId="960" priority="166">
      <formula>B$9&lt;8/24</formula>
    </cfRule>
  </conditionalFormatting>
  <conditionalFormatting sqref="AL31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959" priority="157">
      <formula>$AH31=0</formula>
    </cfRule>
  </conditionalFormatting>
  <conditionalFormatting sqref="A80">
    <cfRule type="expression" dxfId="958" priority="155">
      <formula>$AH80=0</formula>
    </cfRule>
  </conditionalFormatting>
  <conditionalFormatting sqref="A77">
    <cfRule type="expression" dxfId="957" priority="156">
      <formula>$AH77=0</formula>
    </cfRule>
  </conditionalFormatting>
  <conditionalFormatting sqref="A107">
    <cfRule type="expression" dxfId="956" priority="146">
      <formula>$AH107=0</formula>
    </cfRule>
  </conditionalFormatting>
  <conditionalFormatting sqref="C100:Y100 AA100:AF100">
    <cfRule type="expression" dxfId="955" priority="142">
      <formula>C$9&gt;=20/24</formula>
    </cfRule>
    <cfRule type="expression" dxfId="954" priority="143">
      <formula>AND(C$9&gt;=14/24,C$9&lt;20/24)</formula>
    </cfRule>
    <cfRule type="expression" dxfId="953" priority="144">
      <formula>AND(C$9&gt;=8/24,C$9&lt;14/24)</formula>
    </cfRule>
    <cfRule type="expression" dxfId="952" priority="145">
      <formula>C$9&lt;8/24</formula>
    </cfRule>
  </conditionalFormatting>
  <conditionalFormatting sqref="A100">
    <cfRule type="expression" dxfId="951" priority="141">
      <formula>$AH100=0</formula>
    </cfRule>
  </conditionalFormatting>
  <conditionalFormatting sqref="B100">
    <cfRule type="expression" dxfId="950" priority="137">
      <formula>B$9&gt;=20/24</formula>
    </cfRule>
    <cfRule type="expression" dxfId="949" priority="138">
      <formula>AND(B$9&gt;=14/24,B$9&lt;20/24)</formula>
    </cfRule>
    <cfRule type="expression" dxfId="948" priority="139">
      <formula>AND(B$9&gt;=8/24,B$9&lt;14/24)</formula>
    </cfRule>
    <cfRule type="expression" dxfId="947" priority="140">
      <formula>B$9&lt;8/24</formula>
    </cfRule>
  </conditionalFormatting>
  <conditionalFormatting sqref="AL26">
    <cfRule type="expression" dxfId="946" priority="133">
      <formula>AL$9&gt;=20/24</formula>
    </cfRule>
    <cfRule type="expression" dxfId="945" priority="134">
      <formula>AND(AL$9&gt;=14/24,AL$9&lt;20/24)</formula>
    </cfRule>
    <cfRule type="expression" dxfId="944" priority="135">
      <formula>AND(AL$9&gt;=8/24,AL$9&lt;14/24)</formula>
    </cfRule>
    <cfRule type="expression" dxfId="943" priority="136">
      <formula>AL$9&lt;8/24</formula>
    </cfRule>
  </conditionalFormatting>
  <conditionalFormatting sqref="AL26">
    <cfRule type="expression" dxfId="942" priority="132">
      <formula>AL26&gt;$AG26</formula>
    </cfRule>
  </conditionalFormatting>
  <conditionalFormatting sqref="Z99 Z101:Z106">
    <cfRule type="expression" dxfId="941" priority="109">
      <formula>Z$9&gt;=20/24</formula>
    </cfRule>
    <cfRule type="expression" dxfId="940" priority="110">
      <formula>AND(Z$9&gt;=14/24,Z$9&lt;20/24)</formula>
    </cfRule>
    <cfRule type="expression" dxfId="939" priority="111">
      <formula>AND(Z$9&gt;=8/24,Z$9&lt;14/24)</formula>
    </cfRule>
    <cfRule type="expression" dxfId="938" priority="112">
      <formula>Z$9&lt;8/24</formula>
    </cfRule>
  </conditionalFormatting>
  <conditionalFormatting sqref="Z11:AF16 Z35:AF35">
    <cfRule type="expression" dxfId="937" priority="108">
      <formula>Z11&gt;$AG11</formula>
    </cfRule>
  </conditionalFormatting>
  <conditionalFormatting sqref="Z89">
    <cfRule type="expression" dxfId="936" priority="104">
      <formula>Z$9&gt;=20/24</formula>
    </cfRule>
    <cfRule type="expression" dxfId="935" priority="105">
      <formula>AND(Z$9&gt;=14/24,Z$9&lt;20/24)</formula>
    </cfRule>
    <cfRule type="expression" dxfId="934" priority="106">
      <formula>AND(Z$9&gt;=8/24,Z$9&lt;14/24)</formula>
    </cfRule>
    <cfRule type="expression" dxfId="933" priority="107">
      <formula>Z$9&lt;8/24</formula>
    </cfRule>
  </conditionalFormatting>
  <conditionalFormatting sqref="Z44:Z45 Z61">
    <cfRule type="expression" dxfId="932" priority="100">
      <formula>Z$9&gt;=20/24</formula>
    </cfRule>
    <cfRule type="expression" dxfId="931" priority="101">
      <formula>AND(Z$9&gt;=14/24,Z$9&lt;20/24)</formula>
    </cfRule>
    <cfRule type="expression" dxfId="930" priority="102">
      <formula>AND(Z$9&gt;=8/24,Z$9&lt;14/24)</formula>
    </cfRule>
    <cfRule type="expression" dxfId="929" priority="103">
      <formula>Z$9&lt;8/24</formula>
    </cfRule>
  </conditionalFormatting>
  <conditionalFormatting sqref="Z43">
    <cfRule type="expression" dxfId="928" priority="96">
      <formula>Z$9&gt;=20/24</formula>
    </cfRule>
    <cfRule type="expression" dxfId="927" priority="97">
      <formula>AND(Z$9&gt;=14/24,Z$9&lt;20/24)</formula>
    </cfRule>
    <cfRule type="expression" dxfId="926" priority="98">
      <formula>AND(Z$9&gt;=8/24,Z$9&lt;14/24)</formula>
    </cfRule>
    <cfRule type="expression" dxfId="925" priority="99">
      <formula>Z$9&lt;8/24</formula>
    </cfRule>
  </conditionalFormatting>
  <conditionalFormatting sqref="Z43:Z45">
    <cfRule type="expression" dxfId="924" priority="95">
      <formula>Z43&gt;$AG43</formula>
    </cfRule>
  </conditionalFormatting>
  <conditionalFormatting sqref="Z86 Z57:Z59 Z62:Z71 Z73:Z76 Z90:Z96 Z37:AE37">
    <cfRule type="expression" dxfId="923" priority="91">
      <formula>Z$9&gt;=20/24</formula>
    </cfRule>
    <cfRule type="expression" dxfId="922" priority="92">
      <formula>AND(Z$9&gt;=14/24,Z$9&lt;20/24)</formula>
    </cfRule>
    <cfRule type="expression" dxfId="921" priority="93">
      <formula>AND(Z$9&gt;=8/24,Z$9&lt;14/24)</formula>
    </cfRule>
    <cfRule type="expression" dxfId="920" priority="94">
      <formula>Z$9&lt;8/24</formula>
    </cfRule>
  </conditionalFormatting>
  <conditionalFormatting sqref="Z55 Z57:Z59 Z37:AE37">
    <cfRule type="expression" dxfId="919" priority="90">
      <formula>Z37&gt;$AG37</formula>
    </cfRule>
  </conditionalFormatting>
  <conditionalFormatting sqref="Z46:Z47">
    <cfRule type="expression" dxfId="918" priority="86">
      <formula>Z$9&gt;=20/24</formula>
    </cfRule>
    <cfRule type="expression" dxfId="917" priority="87">
      <formula>AND(Z$9&gt;=14/24,Z$9&lt;20/24)</formula>
    </cfRule>
    <cfRule type="expression" dxfId="916" priority="88">
      <formula>AND(Z$9&gt;=8/24,Z$9&lt;14/24)</formula>
    </cfRule>
    <cfRule type="expression" dxfId="915" priority="89">
      <formula>Z$9&lt;8/24</formula>
    </cfRule>
  </conditionalFormatting>
  <conditionalFormatting sqref="Z46:Z47">
    <cfRule type="expression" dxfId="914" priority="85">
      <formula>Z46&gt;$AG46</formula>
    </cfRule>
  </conditionalFormatting>
  <conditionalFormatting sqref="Z48:Z54">
    <cfRule type="expression" dxfId="913" priority="81">
      <formula>Z$9&gt;=20/24</formula>
    </cfRule>
    <cfRule type="expression" dxfId="912" priority="82">
      <formula>AND(Z$9&gt;=14/24,Z$9&lt;20/24)</formula>
    </cfRule>
    <cfRule type="expression" dxfId="911" priority="83">
      <formula>AND(Z$9&gt;=8/24,Z$9&lt;14/24)</formula>
    </cfRule>
    <cfRule type="expression" dxfId="910" priority="84">
      <formula>Z$9&lt;8/24</formula>
    </cfRule>
  </conditionalFormatting>
  <conditionalFormatting sqref="Z48:Z54">
    <cfRule type="expression" dxfId="909" priority="80">
      <formula>Z48&gt;$AG48</formula>
    </cfRule>
  </conditionalFormatting>
  <conditionalFormatting sqref="Z29:AF29 Z11:AF14 Z25:AF26 Z16:AF20">
    <cfRule type="expression" dxfId="908" priority="76">
      <formula>Z$9&gt;=20/24</formula>
    </cfRule>
    <cfRule type="expression" dxfId="907" priority="77">
      <formula>AND(Z$9&gt;=14/24,Z$9&lt;20/24)</formula>
    </cfRule>
    <cfRule type="expression" dxfId="906" priority="78">
      <formula>AND(Z$9&gt;=8/24,Z$9&lt;14/24)</formula>
    </cfRule>
    <cfRule type="expression" dxfId="905" priority="79">
      <formula>Z$9&lt;8/24</formula>
    </cfRule>
  </conditionalFormatting>
  <conditionalFormatting sqref="Z29:AF29 Z25:AF26 Z17:AF20">
    <cfRule type="expression" dxfId="904" priority="75">
      <formula>Z17&gt;$AG17</formula>
    </cfRule>
  </conditionalFormatting>
  <conditionalFormatting sqref="Z15:AF15">
    <cfRule type="expression" dxfId="903" priority="71">
      <formula>Z$9&gt;=20/24</formula>
    </cfRule>
    <cfRule type="expression" dxfId="902" priority="72">
      <formula>AND(Z$9&gt;=14/24,Z$9&lt;20/24)</formula>
    </cfRule>
    <cfRule type="expression" dxfId="901" priority="73">
      <formula>AND(Z$9&gt;=8/24,Z$9&lt;14/24)</formula>
    </cfRule>
    <cfRule type="expression" dxfId="900" priority="74">
      <formula>Z$9&lt;8/24</formula>
    </cfRule>
  </conditionalFormatting>
  <conditionalFormatting sqref="Z78 Z87">
    <cfRule type="expression" dxfId="899" priority="67">
      <formula>Z$9&gt;=20/24</formula>
    </cfRule>
    <cfRule type="expression" dxfId="898" priority="68">
      <formula>AND(Z$9&gt;=14/24,Z$9&lt;20/24)</formula>
    </cfRule>
    <cfRule type="expression" dxfId="897" priority="69">
      <formula>AND(Z$9&gt;=8/24,Z$9&lt;14/24)</formula>
    </cfRule>
    <cfRule type="expression" dxfId="896" priority="70">
      <formula>Z$9&lt;8/24</formula>
    </cfRule>
  </conditionalFormatting>
  <conditionalFormatting sqref="Z36:AF36">
    <cfRule type="expression" dxfId="895" priority="63">
      <formula>Z$9&gt;=20/24</formula>
    </cfRule>
    <cfRule type="expression" dxfId="894" priority="64">
      <formula>AND(Z$9&gt;=14/24,Z$9&lt;20/24)</formula>
    </cfRule>
    <cfRule type="expression" dxfId="893" priority="65">
      <formula>AND(Z$9&gt;=8/24,Z$9&lt;14/24)</formula>
    </cfRule>
    <cfRule type="expression" dxfId="892" priority="66">
      <formula>Z$9&lt;8/24</formula>
    </cfRule>
  </conditionalFormatting>
  <conditionalFormatting sqref="Z36:AF36">
    <cfRule type="expression" dxfId="891" priority="62">
      <formula>Z36&gt;$AG36</formula>
    </cfRule>
  </conditionalFormatting>
  <conditionalFormatting sqref="Z79 Z60 Z77 Z88 Z21:AF22 Z24:AF24 Z28:AF28 Z30:AF32">
    <cfRule type="expression" dxfId="890" priority="58">
      <formula>Z$9&gt;=20/24</formula>
    </cfRule>
    <cfRule type="expression" dxfId="889" priority="59">
      <formula>AND(Z$9&gt;=14/24,Z$9&lt;20/24)</formula>
    </cfRule>
    <cfRule type="expression" dxfId="888" priority="60">
      <formula>AND(Z$9&gt;=8/24,Z$9&lt;14/24)</formula>
    </cfRule>
    <cfRule type="expression" dxfId="887" priority="61">
      <formula>Z$9&lt;8/24</formula>
    </cfRule>
  </conditionalFormatting>
  <conditionalFormatting sqref="Z33:AF33">
    <cfRule type="expression" dxfId="886" priority="54">
      <formula>Z$9&gt;=20/24</formula>
    </cfRule>
    <cfRule type="expression" dxfId="885" priority="55">
      <formula>AND(Z$9&gt;=14/24,Z$9&lt;20/24)</formula>
    </cfRule>
    <cfRule type="expression" dxfId="884" priority="56">
      <formula>AND(Z$9&gt;=8/24,Z$9&lt;14/24)</formula>
    </cfRule>
    <cfRule type="expression" dxfId="883" priority="57">
      <formula>Z$9&lt;8/24</formula>
    </cfRule>
  </conditionalFormatting>
  <conditionalFormatting sqref="Z38 Z56 Z60 Z21:AF22 Z24:AF24 Z27:AF28 Z30:AF33">
    <cfRule type="expression" dxfId="882" priority="53">
      <formula>Z21&gt;$AG21</formula>
    </cfRule>
  </conditionalFormatting>
  <conditionalFormatting sqref="Z35:AF35">
    <cfRule type="expression" dxfId="881" priority="49">
      <formula>Z$9&gt;=20/24</formula>
    </cfRule>
    <cfRule type="expression" dxfId="880" priority="50">
      <formula>AND(Z$9&gt;=14/24,Z$9&lt;20/24)</formula>
    </cfRule>
    <cfRule type="expression" dxfId="879" priority="51">
      <formula>AND(Z$9&gt;=8/24,Z$9&lt;14/24)</formula>
    </cfRule>
    <cfRule type="expression" dxfId="878" priority="52">
      <formula>Z$9&lt;8/24</formula>
    </cfRule>
  </conditionalFormatting>
  <conditionalFormatting sqref="Z34:AF34">
    <cfRule type="expression" dxfId="877" priority="45">
      <formula>Z$9&gt;=20/24</formula>
    </cfRule>
    <cfRule type="expression" dxfId="876" priority="46">
      <formula>AND(Z$9&gt;=14/24,Z$9&lt;20/24)</formula>
    </cfRule>
    <cfRule type="expression" dxfId="875" priority="47">
      <formula>AND(Z$9&gt;=8/24,Z$9&lt;14/24)</formula>
    </cfRule>
    <cfRule type="expression" dxfId="874" priority="48">
      <formula>Z$9&lt;8/24</formula>
    </cfRule>
  </conditionalFormatting>
  <conditionalFormatting sqref="Z34:AF34">
    <cfRule type="expression" dxfId="873" priority="44">
      <formula>Z34&gt;$AG34</formula>
    </cfRule>
  </conditionalFormatting>
  <conditionalFormatting sqref="Z27:AF27">
    <cfRule type="expression" dxfId="872" priority="40">
      <formula>Z$9&gt;=20/24</formula>
    </cfRule>
    <cfRule type="expression" dxfId="871" priority="41">
      <formula>AND(Z$9&gt;=14/24,Z$9&lt;20/24)</formula>
    </cfRule>
    <cfRule type="expression" dxfId="870" priority="42">
      <formula>AND(Z$9&gt;=8/24,Z$9&lt;14/24)</formula>
    </cfRule>
    <cfRule type="expression" dxfId="869" priority="43">
      <formula>Z$9&lt;8/24</formula>
    </cfRule>
  </conditionalFormatting>
  <conditionalFormatting sqref="Z23:AF23">
    <cfRule type="expression" dxfId="868" priority="36">
      <formula>Z$9&gt;=20/24</formula>
    </cfRule>
    <cfRule type="expression" dxfId="867" priority="37">
      <formula>AND(Z$9&gt;=14/24,Z$9&lt;20/24)</formula>
    </cfRule>
    <cfRule type="expression" dxfId="866" priority="38">
      <formula>AND(Z$9&gt;=8/24,Z$9&lt;14/24)</formula>
    </cfRule>
    <cfRule type="expression" dxfId="865" priority="39">
      <formula>Z$9&lt;8/24</formula>
    </cfRule>
  </conditionalFormatting>
  <conditionalFormatting sqref="Z23:AF23">
    <cfRule type="expression" dxfId="864" priority="35">
      <formula>Z23&gt;$AG23</formula>
    </cfRule>
  </conditionalFormatting>
  <conditionalFormatting sqref="Z72">
    <cfRule type="expression" dxfId="863" priority="31">
      <formula>Z$9&gt;=20/24</formula>
    </cfRule>
    <cfRule type="expression" dxfId="862" priority="32">
      <formula>AND(Z$9&gt;=14/24,Z$9&lt;20/24)</formula>
    </cfRule>
    <cfRule type="expression" dxfId="861" priority="33">
      <formula>AND(Z$9&gt;=8/24,Z$9&lt;14/24)</formula>
    </cfRule>
    <cfRule type="expression" dxfId="860" priority="34">
      <formula>Z$9&lt;8/24</formula>
    </cfRule>
  </conditionalFormatting>
  <conditionalFormatting sqref="Z81:Z85">
    <cfRule type="expression" dxfId="859" priority="27">
      <formula>Z$9&gt;=20/24</formula>
    </cfRule>
    <cfRule type="expression" dxfId="858" priority="28">
      <formula>AND(Z$9&gt;=14/24,Z$9&lt;20/24)</formula>
    </cfRule>
    <cfRule type="expression" dxfId="857" priority="29">
      <formula>AND(Z$9&gt;=8/24,Z$9&lt;14/24)</formula>
    </cfRule>
    <cfRule type="expression" dxfId="856" priority="30">
      <formula>Z$9&lt;8/24</formula>
    </cfRule>
  </conditionalFormatting>
  <conditionalFormatting sqref="Z39:Z41">
    <cfRule type="expression" dxfId="855" priority="23">
      <formula>Z$9&gt;=20/24</formula>
    </cfRule>
    <cfRule type="expression" dxfId="854" priority="24">
      <formula>AND(Z$9&gt;=14/24,Z$9&lt;20/24)</formula>
    </cfRule>
    <cfRule type="expression" dxfId="853" priority="25">
      <formula>AND(Z$9&gt;=8/24,Z$9&lt;14/24)</formula>
    </cfRule>
    <cfRule type="expression" dxfId="852" priority="26">
      <formula>Z$9&lt;8/24</formula>
    </cfRule>
  </conditionalFormatting>
  <conditionalFormatting sqref="Z39:Z41">
    <cfRule type="expression" dxfId="851" priority="22">
      <formula>Z39&gt;$AG39</formula>
    </cfRule>
  </conditionalFormatting>
  <conditionalFormatting sqref="Z42">
    <cfRule type="expression" dxfId="850" priority="18">
      <formula>Z$9&gt;=20/24</formula>
    </cfRule>
    <cfRule type="expression" dxfId="849" priority="19">
      <formula>AND(Z$9&gt;=14/24,Z$9&lt;20/24)</formula>
    </cfRule>
    <cfRule type="expression" dxfId="848" priority="20">
      <formula>AND(Z$9&gt;=8/24,Z$9&lt;14/24)</formula>
    </cfRule>
    <cfRule type="expression" dxfId="847" priority="21">
      <formula>Z$9&lt;8/24</formula>
    </cfRule>
  </conditionalFormatting>
  <conditionalFormatting sqref="Z42">
    <cfRule type="expression" dxfId="846" priority="17">
      <formula>Z42&gt;$AG42</formula>
    </cfRule>
  </conditionalFormatting>
  <conditionalFormatting sqref="Z97">
    <cfRule type="expression" dxfId="845" priority="13">
      <formula>Z$9&gt;=20/24</formula>
    </cfRule>
    <cfRule type="expression" dxfId="844" priority="14">
      <formula>AND(Z$9&gt;=14/24,Z$9&lt;20/24)</formula>
    </cfRule>
    <cfRule type="expression" dxfId="843" priority="15">
      <formula>AND(Z$9&gt;=8/24,Z$9&lt;14/24)</formula>
    </cfRule>
    <cfRule type="expression" dxfId="842" priority="16">
      <formula>Z$9&lt;8/24</formula>
    </cfRule>
  </conditionalFormatting>
  <conditionalFormatting sqref="Z100">
    <cfRule type="expression" dxfId="841" priority="1">
      <formula>Z$9&gt;=20/24</formula>
    </cfRule>
    <cfRule type="expression" dxfId="840" priority="2">
      <formula>AND(Z$9&gt;=14/24,Z$9&lt;20/24)</formula>
    </cfRule>
    <cfRule type="expression" dxfId="839" priority="3">
      <formula>AND(Z$9&gt;=8/24,Z$9&lt;14/24)</formula>
    </cfRule>
    <cfRule type="expression" dxfId="838" priority="4">
      <formula>Z$9&lt;8/24</formula>
    </cfRule>
  </conditionalFormatting>
  <printOptions horizontalCentered="1" verticalCentered="1"/>
  <pageMargins left="0" right="0" top="0" bottom="0" header="0" footer="0"/>
  <pageSetup scale="40" orientation="landscape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8" id="{3F160E44-54F0-46A6-9DA1-BF28B1ED364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9" id="{9DA24044-06B2-41B7-AAA9-BE54CABB7E0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0" id="{04A01C55-7C11-4206-91A9-54F958509ED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1" id="{E86AC79F-4CB1-46EA-8DA4-DB8278ACF0D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B80:Y80 AA80:AF80</xm:sqref>
        </x14:conditionalFormatting>
        <x14:conditionalFormatting xmlns:xm="http://schemas.microsoft.com/office/excel/2006/main">
          <x14:cfRule type="expression" priority="151" id="{C3B8AC88-26B6-484A-98E1-5749B067B79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2" id="{783C9AA7-DA23-4C19-AFA8-08E627F5D5A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3" id="{7DC590EC-1564-4290-8698-5E1DB3968D1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4" id="{96DD48EA-BE1F-4C41-B0CB-A434E7ED1AC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C107:Y107 AA107:AF107</xm:sqref>
        </x14:conditionalFormatting>
        <x14:conditionalFormatting xmlns:xm="http://schemas.microsoft.com/office/excel/2006/main">
          <x14:cfRule type="expression" priority="147" id="{274E244F-51E7-4F99-8262-E5AB47C09AD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8" id="{4DB36769-A024-4A7F-A3BB-1D48162FF19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9" id="{CCB8BCC1-2F32-4B5D-AC19-390F28B775B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0" id="{A9DBCC55-7194-4084-BC23-C21510F5FE2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  <x14:conditionalFormatting xmlns:xm="http://schemas.microsoft.com/office/excel/2006/main">
          <x14:cfRule type="expression" priority="9" id="{12229F66-B308-472A-B2DB-5631B69AAAE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7CCAD6B9-3083-43CD-9005-F6C8306E32D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" id="{F76B4550-1B13-4492-8EF0-587998C00F4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" id="{ED218836-9F28-4CED-AC34-8856C9AABC2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Z80</xm:sqref>
        </x14:conditionalFormatting>
        <x14:conditionalFormatting xmlns:xm="http://schemas.microsoft.com/office/excel/2006/main">
          <x14:cfRule type="expression" priority="5" id="{54F1C1CD-73F0-4F48-A7CF-57F88894B2D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F2036D1D-1C46-4E26-96AF-4555E7A82E2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8ED3C675-3A44-4009-A898-3FB62C5F5C5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9C54D0B1-2238-4E43-8BEC-699E7B3692F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Z107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4"/>
  <sheetViews>
    <sheetView tabSelected="1"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K42" sqref="AK42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str">
        <f ca="1">"2079/"&amp;"05/"&amp;INT(MID(CELL("filename",D6),FIND("]",CELL("filename",D6))+1,200))</f>
        <v>2079/05/31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0</v>
      </c>
      <c r="AA5" s="205">
        <f t="shared" si="0"/>
        <v>0</v>
      </c>
      <c r="AB5" s="205">
        <f t="shared" si="0"/>
        <v>0</v>
      </c>
      <c r="AC5" s="205">
        <f t="shared" si="0"/>
        <v>0</v>
      </c>
      <c r="AD5" s="205">
        <f t="shared" si="0"/>
        <v>0</v>
      </c>
      <c r="AE5" s="205">
        <f t="shared" si="0"/>
        <v>0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1702MW at 8:00hr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e">
        <f>"Base Load="&amp;ROUND(MIN($B$7:$AF$7),0)</f>
        <v>#VALUE!</v>
      </c>
      <c r="B7" s="210">
        <f>B79</f>
        <v>1644.04</v>
      </c>
      <c r="C7" s="210">
        <f t="shared" ref="C7:AF7" si="1">C79</f>
        <v>1630.8400000000001</v>
      </c>
      <c r="D7" s="210">
        <f t="shared" si="1"/>
        <v>1630.8400000000001</v>
      </c>
      <c r="E7" s="210">
        <f t="shared" si="1"/>
        <v>1609.64</v>
      </c>
      <c r="F7" s="210">
        <f t="shared" si="1"/>
        <v>1576.74</v>
      </c>
      <c r="G7" s="210">
        <f t="shared" si="1"/>
        <v>1576.74</v>
      </c>
      <c r="H7" s="210">
        <f t="shared" si="1"/>
        <v>1577.14</v>
      </c>
      <c r="I7" s="210">
        <f t="shared" si="1"/>
        <v>1567.74</v>
      </c>
      <c r="J7" s="210">
        <f t="shared" si="1"/>
        <v>1567.74</v>
      </c>
      <c r="K7" s="210">
        <f t="shared" si="1"/>
        <v>1582.29</v>
      </c>
      <c r="L7" s="210">
        <f t="shared" si="1"/>
        <v>1655.23</v>
      </c>
      <c r="M7" s="210">
        <f t="shared" si="1"/>
        <v>1702.3400000000001</v>
      </c>
      <c r="N7" s="210">
        <f t="shared" si="1"/>
        <v>1701.8700000000001</v>
      </c>
      <c r="O7" s="210">
        <f t="shared" si="1"/>
        <v>1569.6100000000001</v>
      </c>
      <c r="P7" s="210">
        <f t="shared" si="1"/>
        <v>1641.64</v>
      </c>
      <c r="Q7" s="210">
        <f t="shared" si="1"/>
        <v>1641.99</v>
      </c>
      <c r="R7" s="210">
        <f t="shared" si="1"/>
        <v>1659.54</v>
      </c>
      <c r="S7" s="210" t="e">
        <f t="shared" si="1"/>
        <v>#VALUE!</v>
      </c>
      <c r="T7" s="210">
        <f t="shared" si="1"/>
        <v>1657.6399999999999</v>
      </c>
      <c r="U7" s="210">
        <f t="shared" si="1"/>
        <v>1699.6399999999999</v>
      </c>
      <c r="V7" s="210">
        <f t="shared" si="1"/>
        <v>1687.24</v>
      </c>
      <c r="W7" s="210">
        <f t="shared" si="1"/>
        <v>1655.54</v>
      </c>
      <c r="X7" s="210">
        <f t="shared" si="1"/>
        <v>1647.54</v>
      </c>
      <c r="Y7" s="210">
        <f t="shared" si="1"/>
        <v>1741.44</v>
      </c>
      <c r="Z7" s="210">
        <f t="shared" si="1"/>
        <v>1745.44</v>
      </c>
      <c r="AA7" s="210">
        <f t="shared" si="1"/>
        <v>1739.44</v>
      </c>
      <c r="AB7" s="210">
        <f t="shared" si="1"/>
        <v>1740.44</v>
      </c>
      <c r="AC7" s="210">
        <f t="shared" si="1"/>
        <v>1740.44</v>
      </c>
      <c r="AD7" s="210">
        <f t="shared" si="1"/>
        <v>1727.44</v>
      </c>
      <c r="AE7" s="210">
        <f t="shared" si="1"/>
        <v>1602.6399999999999</v>
      </c>
      <c r="AF7" s="210">
        <f t="shared" si="1"/>
        <v>1432.6399999999999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52.8</v>
      </c>
      <c r="C11" s="221">
        <v>52.8</v>
      </c>
      <c r="D11" s="221">
        <v>52.8</v>
      </c>
      <c r="E11" s="221">
        <v>52.8</v>
      </c>
      <c r="F11" s="221">
        <v>52.8</v>
      </c>
      <c r="G11" s="221">
        <v>52.8</v>
      </c>
      <c r="H11" s="221">
        <v>52.8</v>
      </c>
      <c r="I11" s="221">
        <v>52.8</v>
      </c>
      <c r="J11" s="221">
        <v>52.8</v>
      </c>
      <c r="K11" s="221">
        <v>52.8</v>
      </c>
      <c r="L11" s="221">
        <v>52.8</v>
      </c>
      <c r="M11" s="221">
        <v>52.8</v>
      </c>
      <c r="N11" s="221">
        <v>52.8</v>
      </c>
      <c r="O11" s="221">
        <v>52.8</v>
      </c>
      <c r="P11" s="221">
        <v>52.8</v>
      </c>
      <c r="Q11" s="221">
        <v>0</v>
      </c>
      <c r="R11" s="221">
        <v>27.7</v>
      </c>
      <c r="S11" s="224"/>
      <c r="T11" s="221">
        <v>27.7</v>
      </c>
      <c r="U11" s="221">
        <v>27.7</v>
      </c>
      <c r="V11" s="221">
        <v>27.7</v>
      </c>
      <c r="W11" s="221">
        <v>27.7</v>
      </c>
      <c r="X11" s="221">
        <v>27.7</v>
      </c>
      <c r="Y11" s="221">
        <v>27.7</v>
      </c>
      <c r="Z11" s="224">
        <v>27.7</v>
      </c>
      <c r="AA11" s="224">
        <v>27.7</v>
      </c>
      <c r="AB11" s="224">
        <v>53.7</v>
      </c>
      <c r="AC11" s="224">
        <v>53.7</v>
      </c>
      <c r="AD11" s="224">
        <v>53.7</v>
      </c>
      <c r="AE11" s="224">
        <v>53.7</v>
      </c>
      <c r="AF11" s="224">
        <v>53.7</v>
      </c>
      <c r="AG11" s="225">
        <v>52.4</v>
      </c>
      <c r="AH11" s="226">
        <f>MAX(B11:AF11)</f>
        <v>53.7</v>
      </c>
      <c r="AI11" s="227">
        <f>MIN(B11:AF11)</f>
        <v>0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50.2</v>
      </c>
      <c r="C12" s="221">
        <v>50.2</v>
      </c>
      <c r="D12" s="221">
        <v>50.2</v>
      </c>
      <c r="E12" s="221">
        <v>50.2</v>
      </c>
      <c r="F12" s="221">
        <v>0</v>
      </c>
      <c r="G12" s="221">
        <v>0</v>
      </c>
      <c r="H12" s="221">
        <v>0</v>
      </c>
      <c r="I12" s="221">
        <v>50</v>
      </c>
      <c r="J12" s="221">
        <v>50</v>
      </c>
      <c r="K12" s="221">
        <v>50</v>
      </c>
      <c r="L12" s="221">
        <v>50</v>
      </c>
      <c r="M12" s="221">
        <v>50</v>
      </c>
      <c r="N12" s="221">
        <v>50</v>
      </c>
      <c r="O12" s="221">
        <v>50</v>
      </c>
      <c r="P12" s="221">
        <v>50</v>
      </c>
      <c r="Q12" s="221">
        <v>50</v>
      </c>
      <c r="R12" s="221">
        <v>50</v>
      </c>
      <c r="S12" s="221"/>
      <c r="T12" s="221">
        <v>50</v>
      </c>
      <c r="U12" s="221">
        <v>50</v>
      </c>
      <c r="V12" s="221">
        <v>50</v>
      </c>
      <c r="W12" s="221">
        <v>50</v>
      </c>
      <c r="X12" s="221">
        <v>50</v>
      </c>
      <c r="Y12" s="221">
        <v>50</v>
      </c>
      <c r="Z12" s="221">
        <v>50</v>
      </c>
      <c r="AA12" s="221">
        <v>50</v>
      </c>
      <c r="AB12" s="221">
        <v>50</v>
      </c>
      <c r="AC12" s="221">
        <v>50</v>
      </c>
      <c r="AD12" s="221">
        <v>50</v>
      </c>
      <c r="AE12" s="221">
        <v>50</v>
      </c>
      <c r="AF12" s="221">
        <v>50</v>
      </c>
      <c r="AG12" s="229">
        <v>50</v>
      </c>
      <c r="AH12" s="226">
        <f t="shared" ref="AH12:AH79" si="2">MAX(B12:AF12)</f>
        <v>50.2</v>
      </c>
      <c r="AI12" s="227">
        <f t="shared" ref="AI12:AI79" si="3">MIN(B12:AF12)</f>
        <v>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45.7</v>
      </c>
      <c r="C13" s="221">
        <v>45.7</v>
      </c>
      <c r="D13" s="221">
        <v>45.7</v>
      </c>
      <c r="E13" s="221">
        <v>45.7</v>
      </c>
      <c r="F13" s="221">
        <v>45.7</v>
      </c>
      <c r="G13" s="221">
        <v>45.7</v>
      </c>
      <c r="H13" s="221">
        <v>45.7</v>
      </c>
      <c r="I13" s="221">
        <v>45.7</v>
      </c>
      <c r="J13" s="221">
        <v>45.7</v>
      </c>
      <c r="K13" s="221">
        <v>45.7</v>
      </c>
      <c r="L13" s="221">
        <v>45.7</v>
      </c>
      <c r="M13" s="221">
        <v>45.7</v>
      </c>
      <c r="N13" s="221">
        <v>45.7</v>
      </c>
      <c r="O13" s="221">
        <v>36</v>
      </c>
      <c r="P13" s="221">
        <v>36</v>
      </c>
      <c r="Q13" s="221">
        <v>46</v>
      </c>
      <c r="R13" s="221">
        <v>46</v>
      </c>
      <c r="S13" s="221"/>
      <c r="T13" s="221">
        <v>46</v>
      </c>
      <c r="U13" s="221">
        <v>46</v>
      </c>
      <c r="V13" s="221">
        <v>46</v>
      </c>
      <c r="W13" s="221">
        <v>46</v>
      </c>
      <c r="X13" s="221">
        <v>46</v>
      </c>
      <c r="Y13" s="221">
        <v>46</v>
      </c>
      <c r="Z13" s="221">
        <v>46</v>
      </c>
      <c r="AA13" s="221">
        <v>46</v>
      </c>
      <c r="AB13" s="221">
        <v>46</v>
      </c>
      <c r="AC13" s="221">
        <v>46</v>
      </c>
      <c r="AD13" s="221">
        <v>46</v>
      </c>
      <c r="AE13" s="221">
        <v>46</v>
      </c>
      <c r="AF13" s="221">
        <v>46</v>
      </c>
      <c r="AG13" s="229">
        <v>45</v>
      </c>
      <c r="AH13" s="226">
        <f t="shared" si="2"/>
        <v>46</v>
      </c>
      <c r="AI13" s="227">
        <f t="shared" si="3"/>
        <v>36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27</v>
      </c>
      <c r="C14" s="221">
        <v>27</v>
      </c>
      <c r="D14" s="221">
        <v>27</v>
      </c>
      <c r="E14" s="221">
        <v>27</v>
      </c>
      <c r="F14" s="221">
        <v>27</v>
      </c>
      <c r="G14" s="221">
        <v>27</v>
      </c>
      <c r="H14" s="221">
        <v>27</v>
      </c>
      <c r="I14" s="221">
        <v>27</v>
      </c>
      <c r="J14" s="221">
        <v>27</v>
      </c>
      <c r="K14" s="221">
        <v>27</v>
      </c>
      <c r="L14" s="221">
        <v>27</v>
      </c>
      <c r="M14" s="221">
        <v>27</v>
      </c>
      <c r="N14" s="221">
        <v>27</v>
      </c>
      <c r="O14" s="221">
        <v>27</v>
      </c>
      <c r="P14" s="221">
        <v>27</v>
      </c>
      <c r="Q14" s="221">
        <v>27</v>
      </c>
      <c r="R14" s="221">
        <v>27</v>
      </c>
      <c r="S14" s="221" t="s">
        <v>250</v>
      </c>
      <c r="T14" s="221">
        <v>27</v>
      </c>
      <c r="U14" s="221">
        <v>27</v>
      </c>
      <c r="V14" s="221">
        <v>27</v>
      </c>
      <c r="W14" s="221">
        <v>27</v>
      </c>
      <c r="X14" s="221">
        <v>27</v>
      </c>
      <c r="Y14" s="221">
        <v>27</v>
      </c>
      <c r="Z14" s="221">
        <v>41</v>
      </c>
      <c r="AA14" s="221">
        <v>35</v>
      </c>
      <c r="AB14" s="221">
        <v>30</v>
      </c>
      <c r="AC14" s="221">
        <v>30</v>
      </c>
      <c r="AD14" s="221">
        <v>27</v>
      </c>
      <c r="AE14" s="221">
        <v>27</v>
      </c>
      <c r="AF14" s="221">
        <v>27</v>
      </c>
      <c r="AG14" s="229">
        <v>42</v>
      </c>
      <c r="AH14" s="226">
        <f t="shared" si="2"/>
        <v>41</v>
      </c>
      <c r="AI14" s="227">
        <f t="shared" si="3"/>
        <v>27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H15" s="221">
        <v>0</v>
      </c>
      <c r="I15" s="221">
        <v>0</v>
      </c>
      <c r="J15" s="221">
        <v>0</v>
      </c>
      <c r="K15" s="221">
        <v>0</v>
      </c>
      <c r="L15" s="221">
        <v>0</v>
      </c>
      <c r="M15" s="221">
        <v>0</v>
      </c>
      <c r="N15" s="221">
        <v>0</v>
      </c>
      <c r="O15" s="221">
        <v>0</v>
      </c>
      <c r="P15" s="221">
        <v>0</v>
      </c>
      <c r="Q15" s="221">
        <v>0</v>
      </c>
      <c r="R15" s="221">
        <v>0</v>
      </c>
      <c r="S15" s="221" t="s">
        <v>251</v>
      </c>
      <c r="T15" s="221">
        <v>0</v>
      </c>
      <c r="U15" s="221">
        <v>0</v>
      </c>
      <c r="V15" s="221">
        <v>0</v>
      </c>
      <c r="W15" s="221">
        <v>0</v>
      </c>
      <c r="X15" s="221">
        <v>0</v>
      </c>
      <c r="Y15" s="221">
        <v>30</v>
      </c>
      <c r="Z15" s="221">
        <v>30</v>
      </c>
      <c r="AA15" s="221">
        <v>30</v>
      </c>
      <c r="AB15" s="221">
        <v>10</v>
      </c>
      <c r="AC15" s="221">
        <v>10</v>
      </c>
      <c r="AD15" s="221">
        <v>0</v>
      </c>
      <c r="AE15" s="221">
        <v>0</v>
      </c>
      <c r="AF15" s="221">
        <v>0</v>
      </c>
      <c r="AG15" s="230">
        <v>30</v>
      </c>
      <c r="AH15" s="226">
        <f t="shared" si="2"/>
        <v>30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26.1</v>
      </c>
      <c r="C16" s="221">
        <v>25.3</v>
      </c>
      <c r="D16" s="221">
        <v>25.3</v>
      </c>
      <c r="E16" s="221">
        <v>25.3</v>
      </c>
      <c r="F16" s="221">
        <v>25.3</v>
      </c>
      <c r="G16" s="221">
        <v>25.3</v>
      </c>
      <c r="H16" s="221">
        <v>25.3</v>
      </c>
      <c r="I16" s="221">
        <v>25.3</v>
      </c>
      <c r="J16" s="221">
        <v>25.3</v>
      </c>
      <c r="K16" s="221">
        <v>25.3</v>
      </c>
      <c r="L16" s="221">
        <v>25.3</v>
      </c>
      <c r="M16" s="221">
        <v>25.3</v>
      </c>
      <c r="N16" s="221">
        <v>25.3</v>
      </c>
      <c r="O16" s="221">
        <v>25.3</v>
      </c>
      <c r="P16" s="221">
        <v>25.3</v>
      </c>
      <c r="Q16" s="221">
        <v>25.1</v>
      </c>
      <c r="R16" s="221">
        <v>25.1</v>
      </c>
      <c r="S16" s="221" t="s">
        <v>252</v>
      </c>
      <c r="T16" s="221">
        <v>25.1</v>
      </c>
      <c r="U16" s="221">
        <v>25.1</v>
      </c>
      <c r="V16" s="221">
        <v>25.1</v>
      </c>
      <c r="W16" s="221">
        <v>25.1</v>
      </c>
      <c r="X16" s="221">
        <v>25.1</v>
      </c>
      <c r="Y16" s="221">
        <v>25.1</v>
      </c>
      <c r="Z16" s="221">
        <v>25.1</v>
      </c>
      <c r="AA16" s="221">
        <v>25.1</v>
      </c>
      <c r="AB16" s="221">
        <v>25.1</v>
      </c>
      <c r="AC16" s="221">
        <v>25.1</v>
      </c>
      <c r="AD16" s="221">
        <v>25.1</v>
      </c>
      <c r="AE16" s="221">
        <v>25.1</v>
      </c>
      <c r="AF16" s="221">
        <v>25.1</v>
      </c>
      <c r="AG16" s="229">
        <v>25</v>
      </c>
      <c r="AH16" s="226">
        <f t="shared" si="2"/>
        <v>26.1</v>
      </c>
      <c r="AI16" s="227">
        <f t="shared" si="3"/>
        <v>25.1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>
        <v>25</v>
      </c>
      <c r="F17" s="221">
        <v>25</v>
      </c>
      <c r="G17" s="221">
        <v>25</v>
      </c>
      <c r="H17" s="221">
        <v>25</v>
      </c>
      <c r="I17" s="221">
        <v>25</v>
      </c>
      <c r="J17" s="221">
        <v>25</v>
      </c>
      <c r="K17" s="221">
        <v>25</v>
      </c>
      <c r="L17" s="221">
        <v>25</v>
      </c>
      <c r="M17" s="221">
        <v>25</v>
      </c>
      <c r="N17" s="221">
        <v>25</v>
      </c>
      <c r="O17" s="221">
        <v>25</v>
      </c>
      <c r="P17" s="221">
        <v>25</v>
      </c>
      <c r="Q17" s="221">
        <v>25</v>
      </c>
      <c r="R17" s="221">
        <v>25</v>
      </c>
      <c r="S17" s="221" t="s">
        <v>253</v>
      </c>
      <c r="T17" s="221">
        <v>25</v>
      </c>
      <c r="U17" s="221">
        <v>25</v>
      </c>
      <c r="V17" s="221">
        <v>25</v>
      </c>
      <c r="W17" s="221">
        <v>25</v>
      </c>
      <c r="X17" s="221">
        <v>25</v>
      </c>
      <c r="Y17" s="221">
        <v>25</v>
      </c>
      <c r="Z17" s="221">
        <v>25</v>
      </c>
      <c r="AA17" s="221">
        <v>25</v>
      </c>
      <c r="AB17" s="221">
        <v>25</v>
      </c>
      <c r="AC17" s="221">
        <v>25</v>
      </c>
      <c r="AD17" s="221">
        <v>25</v>
      </c>
      <c r="AE17" s="221">
        <v>25</v>
      </c>
      <c r="AF17" s="221">
        <v>25</v>
      </c>
      <c r="AG17" s="229">
        <v>25</v>
      </c>
      <c r="AH17" s="226">
        <f t="shared" si="2"/>
        <v>25</v>
      </c>
      <c r="AI17" s="227">
        <f t="shared" si="3"/>
        <v>25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>
        <v>25</v>
      </c>
      <c r="F18" s="221">
        <v>25</v>
      </c>
      <c r="G18" s="221">
        <v>25</v>
      </c>
      <c r="H18" s="221">
        <v>25</v>
      </c>
      <c r="I18" s="221">
        <v>25</v>
      </c>
      <c r="J18" s="221">
        <v>25</v>
      </c>
      <c r="K18" s="221">
        <v>25</v>
      </c>
      <c r="L18" s="221">
        <v>25</v>
      </c>
      <c r="M18" s="221">
        <v>25</v>
      </c>
      <c r="N18" s="221">
        <v>25</v>
      </c>
      <c r="O18" s="221">
        <v>25</v>
      </c>
      <c r="P18" s="221">
        <v>25</v>
      </c>
      <c r="Q18" s="221">
        <v>25</v>
      </c>
      <c r="R18" s="221">
        <v>25</v>
      </c>
      <c r="S18" s="221" t="s">
        <v>254</v>
      </c>
      <c r="T18" s="221">
        <v>25</v>
      </c>
      <c r="U18" s="221">
        <v>25</v>
      </c>
      <c r="V18" s="221">
        <v>25</v>
      </c>
      <c r="W18" s="221">
        <v>25</v>
      </c>
      <c r="X18" s="221">
        <v>25</v>
      </c>
      <c r="Y18" s="221">
        <v>25</v>
      </c>
      <c r="Z18" s="221">
        <v>25</v>
      </c>
      <c r="AA18" s="221">
        <v>25</v>
      </c>
      <c r="AB18" s="221">
        <v>25</v>
      </c>
      <c r="AC18" s="221">
        <v>25</v>
      </c>
      <c r="AD18" s="221">
        <v>25</v>
      </c>
      <c r="AE18" s="221">
        <v>25</v>
      </c>
      <c r="AF18" s="221">
        <v>25</v>
      </c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24.5</v>
      </c>
      <c r="C19" s="221">
        <v>24.5</v>
      </c>
      <c r="D19" s="221">
        <v>24.5</v>
      </c>
      <c r="E19" s="221">
        <v>24.5</v>
      </c>
      <c r="F19" s="221">
        <v>24.5</v>
      </c>
      <c r="G19" s="221">
        <v>24.5</v>
      </c>
      <c r="H19" s="221">
        <v>24.5</v>
      </c>
      <c r="I19" s="221">
        <v>24.5</v>
      </c>
      <c r="J19" s="221">
        <v>24.5</v>
      </c>
      <c r="K19" s="221">
        <v>24.5</v>
      </c>
      <c r="L19" s="221">
        <v>24.5</v>
      </c>
      <c r="M19" s="221">
        <v>24.5</v>
      </c>
      <c r="N19" s="221">
        <v>24.5</v>
      </c>
      <c r="O19" s="221">
        <v>24.5</v>
      </c>
      <c r="P19" s="221">
        <v>24.5</v>
      </c>
      <c r="Q19" s="221">
        <v>33.200000000000003</v>
      </c>
      <c r="R19" s="221">
        <v>33.200000000000003</v>
      </c>
      <c r="S19" s="221" t="s">
        <v>251</v>
      </c>
      <c r="T19" s="221">
        <v>25</v>
      </c>
      <c r="U19" s="221">
        <v>25</v>
      </c>
      <c r="V19" s="221">
        <v>25</v>
      </c>
      <c r="W19" s="221">
        <v>25</v>
      </c>
      <c r="X19" s="221">
        <v>25</v>
      </c>
      <c r="Y19" s="221">
        <v>25</v>
      </c>
      <c r="Z19" s="221">
        <v>25</v>
      </c>
      <c r="AA19" s="221">
        <v>25</v>
      </c>
      <c r="AB19" s="221">
        <v>25</v>
      </c>
      <c r="AC19" s="221">
        <v>25</v>
      </c>
      <c r="AD19" s="221">
        <v>25</v>
      </c>
      <c r="AE19" s="221">
        <v>25</v>
      </c>
      <c r="AF19" s="221">
        <v>25</v>
      </c>
      <c r="AG19" s="229">
        <v>24.2</v>
      </c>
      <c r="AH19" s="226">
        <f t="shared" si="2"/>
        <v>33.200000000000003</v>
      </c>
      <c r="AI19" s="227">
        <f t="shared" si="3"/>
        <v>24.5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23.4</v>
      </c>
      <c r="C20" s="221">
        <v>23.4</v>
      </c>
      <c r="D20" s="221">
        <v>23.4</v>
      </c>
      <c r="E20" s="221">
        <v>23.4</v>
      </c>
      <c r="F20" s="221">
        <v>23.4</v>
      </c>
      <c r="G20" s="221">
        <v>23.4</v>
      </c>
      <c r="H20" s="221">
        <v>23.4</v>
      </c>
      <c r="I20" s="221">
        <v>23.4</v>
      </c>
      <c r="J20" s="221">
        <v>23.4</v>
      </c>
      <c r="K20" s="221">
        <v>23.4</v>
      </c>
      <c r="L20" s="221">
        <v>23.4</v>
      </c>
      <c r="M20" s="221">
        <v>23.4</v>
      </c>
      <c r="N20" s="221">
        <v>23.4</v>
      </c>
      <c r="O20" s="221">
        <v>23.4</v>
      </c>
      <c r="P20" s="221">
        <v>23.4</v>
      </c>
      <c r="Q20" s="221">
        <v>23.5</v>
      </c>
      <c r="R20" s="221">
        <v>23.5</v>
      </c>
      <c r="S20" s="221" t="s">
        <v>255</v>
      </c>
      <c r="T20" s="221">
        <v>23.5</v>
      </c>
      <c r="U20" s="221">
        <v>23.5</v>
      </c>
      <c r="V20" s="221">
        <v>23.5</v>
      </c>
      <c r="W20" s="221">
        <v>23.5</v>
      </c>
      <c r="X20" s="221">
        <v>23.5</v>
      </c>
      <c r="Y20" s="221">
        <v>23.5</v>
      </c>
      <c r="Z20" s="221">
        <v>23.5</v>
      </c>
      <c r="AA20" s="221">
        <v>23.5</v>
      </c>
      <c r="AB20" s="221">
        <v>23.5</v>
      </c>
      <c r="AC20" s="221">
        <v>23.5</v>
      </c>
      <c r="AD20" s="221">
        <v>23.5</v>
      </c>
      <c r="AE20" s="221">
        <v>23.5</v>
      </c>
      <c r="AF20" s="221">
        <v>23.5</v>
      </c>
      <c r="AG20" s="229">
        <v>23.5</v>
      </c>
      <c r="AH20" s="226">
        <f t="shared" si="2"/>
        <v>23.5</v>
      </c>
      <c r="AI20" s="227">
        <f t="shared" si="3"/>
        <v>23.4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>
        <v>19</v>
      </c>
      <c r="F21" s="221">
        <v>19</v>
      </c>
      <c r="G21" s="221">
        <v>19</v>
      </c>
      <c r="H21" s="221">
        <v>19</v>
      </c>
      <c r="I21" s="221">
        <v>19</v>
      </c>
      <c r="J21" s="221">
        <v>19</v>
      </c>
      <c r="K21" s="221">
        <v>19</v>
      </c>
      <c r="L21" s="221">
        <v>19</v>
      </c>
      <c r="M21" s="221">
        <v>19</v>
      </c>
      <c r="N21" s="221">
        <v>19</v>
      </c>
      <c r="O21" s="221">
        <v>19</v>
      </c>
      <c r="P21" s="221">
        <v>19</v>
      </c>
      <c r="Q21" s="221">
        <v>19</v>
      </c>
      <c r="R21" s="221">
        <v>19</v>
      </c>
      <c r="S21" s="221"/>
      <c r="T21" s="221">
        <v>19</v>
      </c>
      <c r="U21" s="221">
        <v>19</v>
      </c>
      <c r="V21" s="221">
        <v>19</v>
      </c>
      <c r="W21" s="221">
        <v>19</v>
      </c>
      <c r="X21" s="221">
        <v>19</v>
      </c>
      <c r="Y21" s="221">
        <v>19</v>
      </c>
      <c r="Z21" s="221">
        <v>19</v>
      </c>
      <c r="AA21" s="221">
        <v>19</v>
      </c>
      <c r="AB21" s="221">
        <v>19</v>
      </c>
      <c r="AC21" s="221">
        <v>19</v>
      </c>
      <c r="AD21" s="221">
        <v>19</v>
      </c>
      <c r="AE21" s="221">
        <v>19</v>
      </c>
      <c r="AF21" s="221">
        <v>19</v>
      </c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>
        <v>22</v>
      </c>
      <c r="F22" s="221">
        <v>22</v>
      </c>
      <c r="G22" s="221">
        <v>22</v>
      </c>
      <c r="H22" s="221">
        <v>22</v>
      </c>
      <c r="I22" s="221">
        <v>22</v>
      </c>
      <c r="J22" s="221">
        <v>22</v>
      </c>
      <c r="K22" s="221">
        <v>22</v>
      </c>
      <c r="L22" s="221">
        <v>22</v>
      </c>
      <c r="M22" s="221">
        <v>22</v>
      </c>
      <c r="N22" s="221">
        <v>22</v>
      </c>
      <c r="O22" s="221">
        <v>22</v>
      </c>
      <c r="P22" s="221">
        <v>22</v>
      </c>
      <c r="Q22" s="221">
        <v>22</v>
      </c>
      <c r="R22" s="221">
        <v>22</v>
      </c>
      <c r="S22" s="221"/>
      <c r="T22" s="221">
        <v>22</v>
      </c>
      <c r="U22" s="221">
        <v>22</v>
      </c>
      <c r="V22" s="221">
        <v>22</v>
      </c>
      <c r="W22" s="221">
        <v>22</v>
      </c>
      <c r="X22" s="221">
        <v>22</v>
      </c>
      <c r="Y22" s="221">
        <v>22</v>
      </c>
      <c r="Z22" s="221">
        <v>22</v>
      </c>
      <c r="AA22" s="221">
        <v>22</v>
      </c>
      <c r="AB22" s="221">
        <v>22</v>
      </c>
      <c r="AC22" s="221">
        <v>22</v>
      </c>
      <c r="AD22" s="221">
        <v>22</v>
      </c>
      <c r="AE22" s="221">
        <v>22</v>
      </c>
      <c r="AF22" s="221">
        <v>22</v>
      </c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>
        <v>22</v>
      </c>
      <c r="F23" s="221">
        <v>22</v>
      </c>
      <c r="G23" s="221">
        <v>22</v>
      </c>
      <c r="H23" s="221">
        <v>22</v>
      </c>
      <c r="I23" s="221">
        <v>22</v>
      </c>
      <c r="J23" s="221">
        <v>22</v>
      </c>
      <c r="K23" s="221">
        <v>22</v>
      </c>
      <c r="L23" s="221">
        <v>22</v>
      </c>
      <c r="M23" s="221">
        <v>22</v>
      </c>
      <c r="N23" s="221">
        <v>22</v>
      </c>
      <c r="O23" s="221">
        <v>22</v>
      </c>
      <c r="P23" s="221">
        <v>22</v>
      </c>
      <c r="Q23" s="221">
        <v>22</v>
      </c>
      <c r="R23" s="221">
        <v>22</v>
      </c>
      <c r="S23" s="221" t="s">
        <v>256</v>
      </c>
      <c r="T23" s="221">
        <v>22</v>
      </c>
      <c r="U23" s="221">
        <v>22</v>
      </c>
      <c r="V23" s="221">
        <v>22</v>
      </c>
      <c r="W23" s="221">
        <v>22</v>
      </c>
      <c r="X23" s="221">
        <v>22</v>
      </c>
      <c r="Y23" s="221">
        <v>22</v>
      </c>
      <c r="Z23" s="221">
        <v>22</v>
      </c>
      <c r="AA23" s="221">
        <v>22</v>
      </c>
      <c r="AB23" s="221">
        <v>22</v>
      </c>
      <c r="AC23" s="221">
        <v>22</v>
      </c>
      <c r="AD23" s="221">
        <v>22</v>
      </c>
      <c r="AE23" s="221">
        <v>22</v>
      </c>
      <c r="AF23" s="221">
        <v>22</v>
      </c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10</v>
      </c>
      <c r="C24" s="221">
        <v>10</v>
      </c>
      <c r="D24" s="221">
        <v>10</v>
      </c>
      <c r="E24" s="221">
        <v>10</v>
      </c>
      <c r="F24" s="221">
        <v>10</v>
      </c>
      <c r="G24" s="221">
        <v>10</v>
      </c>
      <c r="H24" s="221">
        <v>10</v>
      </c>
      <c r="I24" s="221">
        <v>10</v>
      </c>
      <c r="J24" s="221">
        <v>10</v>
      </c>
      <c r="K24" s="221">
        <v>10</v>
      </c>
      <c r="L24" s="221">
        <v>10</v>
      </c>
      <c r="M24" s="221">
        <v>20</v>
      </c>
      <c r="N24" s="221">
        <v>20</v>
      </c>
      <c r="O24" s="221">
        <v>20</v>
      </c>
      <c r="P24" s="221">
        <v>20</v>
      </c>
      <c r="Q24" s="221">
        <v>20</v>
      </c>
      <c r="R24" s="221">
        <v>20</v>
      </c>
      <c r="S24" s="221" t="s">
        <v>257</v>
      </c>
      <c r="T24" s="221">
        <v>20</v>
      </c>
      <c r="U24" s="221">
        <v>20</v>
      </c>
      <c r="V24" s="221">
        <v>20</v>
      </c>
      <c r="W24" s="221">
        <v>20</v>
      </c>
      <c r="X24" s="221">
        <v>20</v>
      </c>
      <c r="Y24" s="221">
        <v>20</v>
      </c>
      <c r="Z24" s="221">
        <v>20</v>
      </c>
      <c r="AA24" s="221">
        <v>20</v>
      </c>
      <c r="AB24" s="221">
        <v>20</v>
      </c>
      <c r="AC24" s="221">
        <v>20</v>
      </c>
      <c r="AD24" s="221">
        <v>20</v>
      </c>
      <c r="AE24" s="221">
        <v>20</v>
      </c>
      <c r="AF24" s="221">
        <v>20</v>
      </c>
      <c r="AG24" s="229">
        <v>22</v>
      </c>
      <c r="AH24" s="226">
        <f t="shared" si="2"/>
        <v>20</v>
      </c>
      <c r="AI24" s="227">
        <f t="shared" si="3"/>
        <v>10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>
        <v>0</v>
      </c>
      <c r="F25" s="221">
        <v>0</v>
      </c>
      <c r="G25" s="221">
        <v>0</v>
      </c>
      <c r="H25" s="221">
        <v>0</v>
      </c>
      <c r="I25" s="221">
        <v>0</v>
      </c>
      <c r="J25" s="221">
        <v>0</v>
      </c>
      <c r="K25" s="221">
        <v>0</v>
      </c>
      <c r="L25" s="221">
        <v>0</v>
      </c>
      <c r="M25" s="221">
        <v>0</v>
      </c>
      <c r="N25" s="221">
        <v>0</v>
      </c>
      <c r="O25" s="221">
        <v>0</v>
      </c>
      <c r="P25" s="221">
        <v>0</v>
      </c>
      <c r="Q25" s="221">
        <v>0</v>
      </c>
      <c r="R25" s="221">
        <v>0</v>
      </c>
      <c r="S25" s="221" t="s">
        <v>256</v>
      </c>
      <c r="T25" s="221">
        <v>0</v>
      </c>
      <c r="U25" s="221">
        <v>0</v>
      </c>
      <c r="V25" s="221">
        <v>0</v>
      </c>
      <c r="W25" s="221">
        <v>0</v>
      </c>
      <c r="X25" s="221">
        <v>0</v>
      </c>
      <c r="Y25" s="221">
        <v>10</v>
      </c>
      <c r="Z25" s="221">
        <v>10</v>
      </c>
      <c r="AA25" s="221">
        <v>10</v>
      </c>
      <c r="AB25" s="221">
        <v>10</v>
      </c>
      <c r="AC25" s="221">
        <v>10</v>
      </c>
      <c r="AD25" s="221">
        <v>10</v>
      </c>
      <c r="AE25" s="221">
        <v>0</v>
      </c>
      <c r="AF25" s="221">
        <v>0</v>
      </c>
      <c r="AG25" s="229">
        <v>20</v>
      </c>
      <c r="AH25" s="226">
        <f t="shared" si="2"/>
        <v>10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</v>
      </c>
      <c r="C26" s="221">
        <v>14</v>
      </c>
      <c r="D26" s="221">
        <v>14</v>
      </c>
      <c r="E26" s="221">
        <v>14</v>
      </c>
      <c r="F26" s="221">
        <v>14</v>
      </c>
      <c r="G26" s="221">
        <v>14</v>
      </c>
      <c r="H26" s="221">
        <v>14</v>
      </c>
      <c r="I26" s="221">
        <v>14</v>
      </c>
      <c r="J26" s="221">
        <v>14</v>
      </c>
      <c r="K26" s="221">
        <v>14</v>
      </c>
      <c r="L26" s="221">
        <v>14</v>
      </c>
      <c r="M26" s="221">
        <v>14</v>
      </c>
      <c r="N26" s="221">
        <v>14</v>
      </c>
      <c r="O26" s="221">
        <v>14</v>
      </c>
      <c r="P26" s="221">
        <v>14</v>
      </c>
      <c r="Q26" s="221">
        <v>14</v>
      </c>
      <c r="R26" s="221">
        <v>14</v>
      </c>
      <c r="S26" s="221" t="s">
        <v>253</v>
      </c>
      <c r="T26" s="221">
        <v>14</v>
      </c>
      <c r="U26" s="221">
        <v>14</v>
      </c>
      <c r="V26" s="221">
        <v>14</v>
      </c>
      <c r="W26" s="221">
        <v>14</v>
      </c>
      <c r="X26" s="221">
        <v>14</v>
      </c>
      <c r="Y26" s="221">
        <v>14</v>
      </c>
      <c r="Z26" s="221">
        <v>14</v>
      </c>
      <c r="AA26" s="221">
        <v>14</v>
      </c>
      <c r="AB26" s="221">
        <v>14</v>
      </c>
      <c r="AC26" s="221">
        <v>14</v>
      </c>
      <c r="AD26" s="221">
        <v>14</v>
      </c>
      <c r="AE26" s="221">
        <v>14</v>
      </c>
      <c r="AF26" s="221">
        <v>14</v>
      </c>
      <c r="AG26" s="229">
        <v>14.9</v>
      </c>
      <c r="AH26" s="226">
        <f t="shared" si="2"/>
        <v>14</v>
      </c>
      <c r="AI26" s="227">
        <f t="shared" si="3"/>
        <v>14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6</v>
      </c>
      <c r="C27" s="221">
        <v>6</v>
      </c>
      <c r="D27" s="221">
        <v>6</v>
      </c>
      <c r="E27" s="221">
        <v>6</v>
      </c>
      <c r="F27" s="221">
        <v>6</v>
      </c>
      <c r="G27" s="221">
        <v>6</v>
      </c>
      <c r="H27" s="221">
        <v>6</v>
      </c>
      <c r="I27" s="221">
        <v>6</v>
      </c>
      <c r="J27" s="221">
        <v>6</v>
      </c>
      <c r="K27" s="221">
        <v>6</v>
      </c>
      <c r="L27" s="221">
        <v>6</v>
      </c>
      <c r="M27" s="221">
        <v>6</v>
      </c>
      <c r="N27" s="221">
        <v>6</v>
      </c>
      <c r="O27" s="221">
        <v>6</v>
      </c>
      <c r="P27" s="221">
        <v>6</v>
      </c>
      <c r="Q27" s="221">
        <v>6</v>
      </c>
      <c r="R27" s="221">
        <v>6</v>
      </c>
      <c r="S27" s="221" t="s">
        <v>258</v>
      </c>
      <c r="T27" s="221">
        <v>6</v>
      </c>
      <c r="U27" s="221">
        <v>6</v>
      </c>
      <c r="V27" s="221">
        <v>6</v>
      </c>
      <c r="W27" s="221">
        <v>6</v>
      </c>
      <c r="X27" s="221">
        <v>6</v>
      </c>
      <c r="Y27" s="221">
        <v>6</v>
      </c>
      <c r="Z27" s="221">
        <v>6</v>
      </c>
      <c r="AA27" s="221">
        <v>6</v>
      </c>
      <c r="AB27" s="221">
        <v>6</v>
      </c>
      <c r="AC27" s="221">
        <v>6</v>
      </c>
      <c r="AD27" s="221">
        <v>6</v>
      </c>
      <c r="AE27" s="221">
        <v>6</v>
      </c>
      <c r="AF27" s="221">
        <v>6</v>
      </c>
      <c r="AG27" s="229">
        <v>13.6</v>
      </c>
      <c r="AH27" s="226">
        <f t="shared" si="2"/>
        <v>6</v>
      </c>
      <c r="AI27" s="227">
        <f t="shared" si="3"/>
        <v>6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13</v>
      </c>
      <c r="C28" s="221">
        <v>13</v>
      </c>
      <c r="D28" s="221">
        <v>13</v>
      </c>
      <c r="E28" s="221">
        <v>13</v>
      </c>
      <c r="F28" s="221">
        <v>13</v>
      </c>
      <c r="G28" s="221">
        <v>13</v>
      </c>
      <c r="H28" s="221">
        <v>13</v>
      </c>
      <c r="I28" s="221">
        <v>13</v>
      </c>
      <c r="J28" s="221">
        <v>13</v>
      </c>
      <c r="K28" s="221">
        <v>13</v>
      </c>
      <c r="L28" s="221">
        <v>13</v>
      </c>
      <c r="M28" s="221">
        <v>13</v>
      </c>
      <c r="N28" s="221">
        <v>13</v>
      </c>
      <c r="O28" s="221">
        <v>13</v>
      </c>
      <c r="P28" s="221">
        <v>13</v>
      </c>
      <c r="Q28" s="221">
        <v>13</v>
      </c>
      <c r="R28" s="221">
        <v>13</v>
      </c>
      <c r="S28" s="221" t="s">
        <v>259</v>
      </c>
      <c r="T28" s="221">
        <v>13</v>
      </c>
      <c r="U28" s="221">
        <v>13</v>
      </c>
      <c r="V28" s="221">
        <v>13</v>
      </c>
      <c r="W28" s="221">
        <v>13</v>
      </c>
      <c r="X28" s="221">
        <v>13</v>
      </c>
      <c r="Y28" s="221">
        <v>13</v>
      </c>
      <c r="Z28" s="221">
        <v>13</v>
      </c>
      <c r="AA28" s="221">
        <v>13</v>
      </c>
      <c r="AB28" s="221">
        <v>13</v>
      </c>
      <c r="AC28" s="221">
        <v>13</v>
      </c>
      <c r="AD28" s="221">
        <v>13</v>
      </c>
      <c r="AE28" s="221">
        <v>13</v>
      </c>
      <c r="AF28" s="221">
        <v>10</v>
      </c>
      <c r="AG28" s="229">
        <v>13</v>
      </c>
      <c r="AH28" s="226">
        <f t="shared" si="2"/>
        <v>13</v>
      </c>
      <c r="AI28" s="227">
        <f t="shared" si="3"/>
        <v>10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12</v>
      </c>
      <c r="C29" s="221">
        <v>12</v>
      </c>
      <c r="D29" s="221">
        <v>12</v>
      </c>
      <c r="E29" s="221">
        <v>12</v>
      </c>
      <c r="F29" s="221">
        <v>12</v>
      </c>
      <c r="G29" s="221">
        <v>12</v>
      </c>
      <c r="H29" s="221">
        <v>12</v>
      </c>
      <c r="I29" s="221">
        <v>12</v>
      </c>
      <c r="J29" s="221">
        <v>12</v>
      </c>
      <c r="K29" s="221">
        <v>12</v>
      </c>
      <c r="L29" s="221">
        <v>12</v>
      </c>
      <c r="M29" s="221">
        <v>12</v>
      </c>
      <c r="N29" s="221">
        <v>12</v>
      </c>
      <c r="O29" s="221">
        <v>12</v>
      </c>
      <c r="P29" s="221">
        <v>12</v>
      </c>
      <c r="Q29" s="221">
        <v>12</v>
      </c>
      <c r="R29" s="221">
        <v>12</v>
      </c>
      <c r="S29" s="221"/>
      <c r="T29" s="221">
        <v>12</v>
      </c>
      <c r="U29" s="221">
        <v>12</v>
      </c>
      <c r="V29" s="221">
        <v>12</v>
      </c>
      <c r="W29" s="221">
        <v>12</v>
      </c>
      <c r="X29" s="221">
        <v>12</v>
      </c>
      <c r="Y29" s="221">
        <v>0</v>
      </c>
      <c r="Z29" s="221">
        <v>0</v>
      </c>
      <c r="AA29" s="221">
        <v>0</v>
      </c>
      <c r="AB29" s="221">
        <v>0</v>
      </c>
      <c r="AC29" s="221">
        <v>0</v>
      </c>
      <c r="AD29" s="221">
        <v>0</v>
      </c>
      <c r="AE29" s="221">
        <v>0</v>
      </c>
      <c r="AF29" s="221">
        <v>0</v>
      </c>
      <c r="AG29" s="229">
        <v>12</v>
      </c>
      <c r="AH29" s="226">
        <f t="shared" si="2"/>
        <v>12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2</v>
      </c>
      <c r="C30" s="221">
        <v>2</v>
      </c>
      <c r="D30" s="221">
        <v>2</v>
      </c>
      <c r="E30" s="221">
        <v>2</v>
      </c>
      <c r="F30" s="221">
        <v>2</v>
      </c>
      <c r="G30" s="221">
        <v>2</v>
      </c>
      <c r="H30" s="221">
        <v>2</v>
      </c>
      <c r="I30" s="221">
        <v>2</v>
      </c>
      <c r="J30" s="221">
        <v>2</v>
      </c>
      <c r="K30" s="221">
        <v>2</v>
      </c>
      <c r="L30" s="221">
        <v>2</v>
      </c>
      <c r="M30" s="221">
        <v>2</v>
      </c>
      <c r="N30" s="221">
        <v>2</v>
      </c>
      <c r="O30" s="221">
        <v>2</v>
      </c>
      <c r="P30" s="221">
        <v>2</v>
      </c>
      <c r="Q30" s="221">
        <v>2</v>
      </c>
      <c r="R30" s="221">
        <v>2</v>
      </c>
      <c r="S30" s="221"/>
      <c r="T30" s="221">
        <v>2</v>
      </c>
      <c r="U30" s="221">
        <v>2</v>
      </c>
      <c r="V30" s="221">
        <v>2</v>
      </c>
      <c r="W30" s="221">
        <v>2</v>
      </c>
      <c r="X30" s="221">
        <v>2</v>
      </c>
      <c r="Y30" s="221">
        <v>2</v>
      </c>
      <c r="Z30" s="221">
        <v>2</v>
      </c>
      <c r="AA30" s="221">
        <v>2</v>
      </c>
      <c r="AB30" s="221">
        <v>2</v>
      </c>
      <c r="AC30" s="221">
        <v>2</v>
      </c>
      <c r="AD30" s="221">
        <v>2</v>
      </c>
      <c r="AE30" s="221">
        <v>2</v>
      </c>
      <c r="AF30" s="221">
        <v>0</v>
      </c>
      <c r="AG30" s="229">
        <v>12</v>
      </c>
      <c r="AH30" s="226">
        <f t="shared" si="2"/>
        <v>2</v>
      </c>
      <c r="AI30" s="227">
        <f t="shared" si="3"/>
        <v>0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9</v>
      </c>
      <c r="C31" s="221">
        <v>9</v>
      </c>
      <c r="D31" s="221">
        <v>9</v>
      </c>
      <c r="E31" s="221">
        <v>9</v>
      </c>
      <c r="F31" s="221">
        <v>9</v>
      </c>
      <c r="G31" s="221">
        <v>9</v>
      </c>
      <c r="H31" s="221">
        <v>9</v>
      </c>
      <c r="I31" s="221">
        <v>9</v>
      </c>
      <c r="J31" s="221">
        <v>9</v>
      </c>
      <c r="K31" s="221">
        <v>9</v>
      </c>
      <c r="L31" s="221">
        <v>9</v>
      </c>
      <c r="M31" s="221">
        <v>9</v>
      </c>
      <c r="N31" s="221">
        <v>9</v>
      </c>
      <c r="O31" s="221">
        <v>9</v>
      </c>
      <c r="P31" s="221">
        <v>9</v>
      </c>
      <c r="Q31" s="221">
        <v>9</v>
      </c>
      <c r="R31" s="221">
        <v>9</v>
      </c>
      <c r="S31" s="221" t="s">
        <v>260</v>
      </c>
      <c r="T31" s="221">
        <v>9</v>
      </c>
      <c r="U31" s="221">
        <v>9</v>
      </c>
      <c r="V31" s="221">
        <v>9</v>
      </c>
      <c r="W31" s="221">
        <v>9</v>
      </c>
      <c r="X31" s="221">
        <v>9</v>
      </c>
      <c r="Y31" s="221">
        <v>9</v>
      </c>
      <c r="Z31" s="221">
        <v>9</v>
      </c>
      <c r="AA31" s="221">
        <v>9</v>
      </c>
      <c r="AB31" s="221">
        <v>9</v>
      </c>
      <c r="AC31" s="221">
        <v>9</v>
      </c>
      <c r="AD31" s="221">
        <v>9</v>
      </c>
      <c r="AE31" s="221">
        <v>9</v>
      </c>
      <c r="AF31" s="221">
        <v>9</v>
      </c>
      <c r="AG31" s="231">
        <v>22</v>
      </c>
      <c r="AH31" s="226">
        <f>MAX(B31:AF31)</f>
        <v>9</v>
      </c>
      <c r="AI31" s="227">
        <f>MIN(B31:AF31)</f>
        <v>9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>
        <v>11</v>
      </c>
      <c r="F32" s="221">
        <v>11</v>
      </c>
      <c r="G32" s="221">
        <v>11</v>
      </c>
      <c r="H32" s="221">
        <v>11</v>
      </c>
      <c r="I32" s="221">
        <v>11</v>
      </c>
      <c r="J32" s="221">
        <v>11</v>
      </c>
      <c r="K32" s="221">
        <v>11</v>
      </c>
      <c r="L32" s="221">
        <v>11</v>
      </c>
      <c r="M32" s="221">
        <v>11</v>
      </c>
      <c r="N32" s="221">
        <v>11</v>
      </c>
      <c r="O32" s="221">
        <v>11</v>
      </c>
      <c r="P32" s="221">
        <v>11</v>
      </c>
      <c r="Q32" s="221">
        <v>11</v>
      </c>
      <c r="R32" s="221">
        <v>11</v>
      </c>
      <c r="S32" s="221" t="s">
        <v>261</v>
      </c>
      <c r="T32" s="221">
        <v>11</v>
      </c>
      <c r="U32" s="221">
        <v>11</v>
      </c>
      <c r="V32" s="221">
        <v>11</v>
      </c>
      <c r="W32" s="221">
        <v>11</v>
      </c>
      <c r="X32" s="221">
        <v>11</v>
      </c>
      <c r="Y32" s="221">
        <v>11</v>
      </c>
      <c r="Z32" s="221">
        <v>11</v>
      </c>
      <c r="AA32" s="221">
        <v>11</v>
      </c>
      <c r="AB32" s="221">
        <v>11</v>
      </c>
      <c r="AC32" s="221">
        <v>11</v>
      </c>
      <c r="AD32" s="221">
        <v>11</v>
      </c>
      <c r="AE32" s="221">
        <v>11</v>
      </c>
      <c r="AF32" s="221">
        <v>11</v>
      </c>
      <c r="AG32" s="230">
        <v>11.88</v>
      </c>
      <c r="AH32" s="226">
        <f t="shared" si="2"/>
        <v>11</v>
      </c>
      <c r="AI32" s="227">
        <f t="shared" si="3"/>
        <v>11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>
        <v>10</v>
      </c>
      <c r="F33" s="221">
        <v>10</v>
      </c>
      <c r="G33" s="221">
        <v>10</v>
      </c>
      <c r="H33" s="221">
        <v>10</v>
      </c>
      <c r="I33" s="221">
        <v>10</v>
      </c>
      <c r="J33" s="221">
        <v>10</v>
      </c>
      <c r="K33" s="221">
        <v>10</v>
      </c>
      <c r="L33" s="221">
        <v>10</v>
      </c>
      <c r="M33" s="221">
        <v>10</v>
      </c>
      <c r="N33" s="221">
        <v>10</v>
      </c>
      <c r="O33" s="221">
        <v>10</v>
      </c>
      <c r="P33" s="221">
        <v>10</v>
      </c>
      <c r="Q33" s="221">
        <v>10</v>
      </c>
      <c r="R33" s="221">
        <v>10</v>
      </c>
      <c r="S33" s="221" t="s">
        <v>255</v>
      </c>
      <c r="T33" s="221">
        <v>10</v>
      </c>
      <c r="U33" s="221">
        <v>10</v>
      </c>
      <c r="V33" s="221">
        <v>10</v>
      </c>
      <c r="W33" s="221">
        <v>10</v>
      </c>
      <c r="X33" s="221">
        <v>10</v>
      </c>
      <c r="Y33" s="221">
        <v>10</v>
      </c>
      <c r="Z33" s="221">
        <v>10</v>
      </c>
      <c r="AA33" s="221">
        <v>10</v>
      </c>
      <c r="AB33" s="221">
        <v>10</v>
      </c>
      <c r="AC33" s="221">
        <v>10</v>
      </c>
      <c r="AD33" s="221">
        <v>10</v>
      </c>
      <c r="AE33" s="221">
        <v>10</v>
      </c>
      <c r="AF33" s="221">
        <v>10</v>
      </c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8</v>
      </c>
      <c r="C34" s="221">
        <v>8</v>
      </c>
      <c r="D34" s="221">
        <v>8</v>
      </c>
      <c r="E34" s="221">
        <v>8</v>
      </c>
      <c r="F34" s="221">
        <v>8</v>
      </c>
      <c r="G34" s="221">
        <v>8</v>
      </c>
      <c r="H34" s="221">
        <v>8</v>
      </c>
      <c r="I34" s="221">
        <v>8</v>
      </c>
      <c r="J34" s="221">
        <v>8</v>
      </c>
      <c r="K34" s="221">
        <v>8</v>
      </c>
      <c r="L34" s="221">
        <v>8</v>
      </c>
      <c r="M34" s="221">
        <v>8</v>
      </c>
      <c r="N34" s="221">
        <v>7.5</v>
      </c>
      <c r="O34" s="221">
        <v>7.5</v>
      </c>
      <c r="P34" s="221">
        <v>7.5</v>
      </c>
      <c r="Q34" s="221">
        <v>7.5</v>
      </c>
      <c r="R34" s="221">
        <v>7.5</v>
      </c>
      <c r="S34" s="221" t="s">
        <v>255</v>
      </c>
      <c r="T34" s="221">
        <v>7.5</v>
      </c>
      <c r="U34" s="221">
        <v>7.5</v>
      </c>
      <c r="V34" s="221">
        <v>7.5</v>
      </c>
      <c r="W34" s="221">
        <v>7.5</v>
      </c>
      <c r="X34" s="221">
        <v>7.5</v>
      </c>
      <c r="Y34" s="221">
        <v>7.5</v>
      </c>
      <c r="Z34" s="221">
        <v>7.5</v>
      </c>
      <c r="AA34" s="221">
        <v>7.5</v>
      </c>
      <c r="AB34" s="221">
        <v>7.5</v>
      </c>
      <c r="AC34" s="221">
        <v>7.5</v>
      </c>
      <c r="AD34" s="221">
        <v>7.5</v>
      </c>
      <c r="AE34" s="221">
        <v>7.5</v>
      </c>
      <c r="AF34" s="221">
        <v>7.5</v>
      </c>
      <c r="AG34" s="235">
        <v>10</v>
      </c>
      <c r="AH34" s="226">
        <f t="shared" si="2"/>
        <v>8</v>
      </c>
      <c r="AI34" s="227">
        <f t="shared" si="3"/>
        <v>7.5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>
        <v>0</v>
      </c>
      <c r="F35" s="221">
        <v>0</v>
      </c>
      <c r="G35" s="221">
        <v>0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  <c r="M35" s="221">
        <v>2</v>
      </c>
      <c r="N35" s="221">
        <v>2</v>
      </c>
      <c r="O35" s="221">
        <v>2</v>
      </c>
      <c r="P35" s="221">
        <v>2</v>
      </c>
      <c r="Q35" s="221">
        <v>2</v>
      </c>
      <c r="R35" s="221">
        <v>2</v>
      </c>
      <c r="S35" s="221" t="s">
        <v>251</v>
      </c>
      <c r="T35" s="221">
        <v>2</v>
      </c>
      <c r="U35" s="221">
        <v>2</v>
      </c>
      <c r="V35" s="221">
        <v>2</v>
      </c>
      <c r="W35" s="221">
        <v>2</v>
      </c>
      <c r="X35" s="221">
        <v>0</v>
      </c>
      <c r="Y35" s="221">
        <v>0</v>
      </c>
      <c r="Z35" s="221">
        <v>0</v>
      </c>
      <c r="AA35" s="221">
        <v>0</v>
      </c>
      <c r="AB35" s="221">
        <v>0</v>
      </c>
      <c r="AC35" s="221">
        <v>0</v>
      </c>
      <c r="AD35" s="221">
        <v>0</v>
      </c>
      <c r="AE35" s="221">
        <v>0</v>
      </c>
      <c r="AF35" s="221">
        <v>0</v>
      </c>
      <c r="AG35" s="235">
        <v>10</v>
      </c>
      <c r="AH35" s="226">
        <f t="shared" si="2"/>
        <v>2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>
        <v>300</v>
      </c>
      <c r="F36" s="237">
        <v>300</v>
      </c>
      <c r="G36" s="237">
        <v>300</v>
      </c>
      <c r="H36" s="237">
        <v>300</v>
      </c>
      <c r="I36" s="237">
        <v>300</v>
      </c>
      <c r="J36" s="237">
        <v>300</v>
      </c>
      <c r="K36" s="237">
        <v>300</v>
      </c>
      <c r="L36" s="237">
        <v>300</v>
      </c>
      <c r="M36" s="237">
        <v>300</v>
      </c>
      <c r="N36" s="237">
        <v>300</v>
      </c>
      <c r="O36" s="237">
        <v>300</v>
      </c>
      <c r="P36" s="237">
        <v>300</v>
      </c>
      <c r="Q36" s="237">
        <v>300</v>
      </c>
      <c r="R36" s="237">
        <v>300</v>
      </c>
      <c r="S36" s="237" t="s">
        <v>250</v>
      </c>
      <c r="T36" s="237">
        <v>300</v>
      </c>
      <c r="U36" s="237">
        <v>300</v>
      </c>
      <c r="V36" s="237">
        <v>300</v>
      </c>
      <c r="W36" s="237">
        <v>300</v>
      </c>
      <c r="X36" s="237">
        <v>300</v>
      </c>
      <c r="Y36" s="237">
        <v>300</v>
      </c>
      <c r="Z36" s="237">
        <v>300</v>
      </c>
      <c r="AA36" s="237">
        <v>300</v>
      </c>
      <c r="AB36" s="237">
        <v>300</v>
      </c>
      <c r="AC36" s="237">
        <v>300</v>
      </c>
      <c r="AD36" s="237">
        <v>300</v>
      </c>
      <c r="AE36" s="237">
        <v>300</v>
      </c>
      <c r="AF36" s="237">
        <v>300</v>
      </c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179.6</v>
      </c>
      <c r="C37" s="239">
        <v>179.6</v>
      </c>
      <c r="D37" s="239">
        <v>179.6</v>
      </c>
      <c r="E37" s="237">
        <f>97.5+76.7</f>
        <v>174.2</v>
      </c>
      <c r="F37" s="237">
        <f>99.5+75.2</f>
        <v>174.7</v>
      </c>
      <c r="G37" s="237">
        <f>99.2+77.1</f>
        <v>176.3</v>
      </c>
      <c r="H37" s="237">
        <f>98.9+77</f>
        <v>175.9</v>
      </c>
      <c r="I37" s="237">
        <f>98.5+76.2</f>
        <v>174.7</v>
      </c>
      <c r="J37" s="237">
        <f>98.2+80.7</f>
        <v>178.9</v>
      </c>
      <c r="K37" s="237">
        <f>81.7+98.3</f>
        <v>180</v>
      </c>
      <c r="L37" s="237">
        <f>81.7+98.3</f>
        <v>180</v>
      </c>
      <c r="M37" s="237">
        <f>82+98.5</f>
        <v>180.5</v>
      </c>
      <c r="N37" s="237">
        <f>82.5+100.2</f>
        <v>182.7</v>
      </c>
      <c r="O37" s="237">
        <f>83.3+98.9</f>
        <v>182.2</v>
      </c>
      <c r="P37" s="237">
        <f>83.2+96.7</f>
        <v>179.9</v>
      </c>
      <c r="Q37" s="237">
        <f>83.1+98.8</f>
        <v>181.89999999999998</v>
      </c>
      <c r="R37" s="237">
        <f>82.8+95.3</f>
        <v>178.1</v>
      </c>
      <c r="S37" s="239" t="s">
        <v>256</v>
      </c>
      <c r="T37" s="237">
        <f>82.8+95.3</f>
        <v>178.1</v>
      </c>
      <c r="U37" s="237">
        <f t="shared" ref="U37:W37" si="4">82.8+95.3</f>
        <v>178.1</v>
      </c>
      <c r="V37" s="237">
        <f t="shared" si="4"/>
        <v>178.1</v>
      </c>
      <c r="W37" s="237">
        <f t="shared" si="4"/>
        <v>178.1</v>
      </c>
      <c r="X37" s="237">
        <f>82.8+79</f>
        <v>161.80000000000001</v>
      </c>
      <c r="Y37" s="239">
        <f>80.7+78</f>
        <v>158.69999999999999</v>
      </c>
      <c r="Z37" s="239">
        <v>158.89999999999998</v>
      </c>
      <c r="AA37" s="239">
        <v>158.89999999999998</v>
      </c>
      <c r="AB37" s="239">
        <v>158.89999999999998</v>
      </c>
      <c r="AC37" s="239">
        <v>158.89999999999998</v>
      </c>
      <c r="AD37" s="239">
        <v>158.89999999999998</v>
      </c>
      <c r="AE37" s="239">
        <v>158.89999999999998</v>
      </c>
      <c r="AF37" s="239">
        <v>165</v>
      </c>
      <c r="AG37" s="235">
        <v>240</v>
      </c>
      <c r="AH37" s="226">
        <f t="shared" si="2"/>
        <v>182.7</v>
      </c>
      <c r="AI37" s="227">
        <f t="shared" si="3"/>
        <v>158.69999999999999</v>
      </c>
      <c r="AK37" s="228"/>
    </row>
    <row r="38" spans="1:88" ht="15.75" thickBot="1" x14ac:dyDescent="0.3">
      <c r="A38" s="240" t="s">
        <v>46</v>
      </c>
      <c r="B38" s="241">
        <f t="shared" ref="B38:AG38" si="5">SUM(B11:B36)</f>
        <v>757.69999999999993</v>
      </c>
      <c r="C38" s="241">
        <f t="shared" si="5"/>
        <v>756.9</v>
      </c>
      <c r="D38" s="241">
        <f t="shared" si="5"/>
        <v>756.9</v>
      </c>
      <c r="E38" s="241">
        <f t="shared" si="5"/>
        <v>756.9</v>
      </c>
      <c r="F38" s="241">
        <f t="shared" si="5"/>
        <v>706.7</v>
      </c>
      <c r="G38" s="241">
        <f t="shared" si="5"/>
        <v>706.7</v>
      </c>
      <c r="H38" s="241">
        <f t="shared" si="5"/>
        <v>706.7</v>
      </c>
      <c r="I38" s="241">
        <f t="shared" si="5"/>
        <v>756.7</v>
      </c>
      <c r="J38" s="241">
        <f t="shared" si="5"/>
        <v>756.7</v>
      </c>
      <c r="K38" s="241">
        <f t="shared" si="5"/>
        <v>756.7</v>
      </c>
      <c r="L38" s="241">
        <f t="shared" si="5"/>
        <v>756.7</v>
      </c>
      <c r="M38" s="241">
        <f t="shared" si="5"/>
        <v>768.7</v>
      </c>
      <c r="N38" s="241">
        <f t="shared" si="5"/>
        <v>768.2</v>
      </c>
      <c r="O38" s="241">
        <f t="shared" si="5"/>
        <v>758.5</v>
      </c>
      <c r="P38" s="241">
        <f t="shared" si="5"/>
        <v>758.5</v>
      </c>
      <c r="Q38" s="241">
        <f t="shared" si="5"/>
        <v>724.3</v>
      </c>
      <c r="R38" s="241">
        <f t="shared" si="5"/>
        <v>752</v>
      </c>
      <c r="S38" s="241" t="s">
        <v>258</v>
      </c>
      <c r="T38" s="241">
        <f t="shared" si="5"/>
        <v>743.8</v>
      </c>
      <c r="U38" s="241">
        <f t="shared" si="5"/>
        <v>743.8</v>
      </c>
      <c r="V38" s="241">
        <f t="shared" si="5"/>
        <v>743.8</v>
      </c>
      <c r="W38" s="241">
        <f t="shared" si="5"/>
        <v>743.8</v>
      </c>
      <c r="X38" s="241">
        <f t="shared" si="5"/>
        <v>741.8</v>
      </c>
      <c r="Y38" s="241">
        <f t="shared" si="5"/>
        <v>769.8</v>
      </c>
      <c r="Z38" s="241">
        <f t="shared" si="5"/>
        <v>783.8</v>
      </c>
      <c r="AA38" s="241">
        <f t="shared" si="5"/>
        <v>777.8</v>
      </c>
      <c r="AB38" s="241">
        <f t="shared" si="5"/>
        <v>778.8</v>
      </c>
      <c r="AC38" s="241">
        <f t="shared" si="5"/>
        <v>778.8</v>
      </c>
      <c r="AD38" s="241">
        <f t="shared" si="5"/>
        <v>765.8</v>
      </c>
      <c r="AE38" s="241">
        <f t="shared" si="5"/>
        <v>755.8</v>
      </c>
      <c r="AF38" s="241">
        <f t="shared" si="5"/>
        <v>750.8</v>
      </c>
      <c r="AG38" s="242">
        <f t="shared" si="5"/>
        <v>665.78</v>
      </c>
      <c r="AH38" s="226">
        <f t="shared" si="2"/>
        <v>783.8</v>
      </c>
      <c r="AI38" s="227">
        <f t="shared" si="3"/>
        <v>706.7</v>
      </c>
      <c r="AK38" s="228"/>
    </row>
    <row r="39" spans="1:88" x14ac:dyDescent="0.25">
      <c r="A39" s="243" t="s">
        <v>47</v>
      </c>
      <c r="B39" s="221">
        <v>456</v>
      </c>
      <c r="C39" s="221">
        <v>456</v>
      </c>
      <c r="D39" s="221">
        <v>456</v>
      </c>
      <c r="E39" s="221">
        <v>456</v>
      </c>
      <c r="F39" s="221">
        <v>456</v>
      </c>
      <c r="G39" s="221">
        <v>456</v>
      </c>
      <c r="H39" s="221">
        <v>456</v>
      </c>
      <c r="I39" s="221">
        <v>400</v>
      </c>
      <c r="J39" s="221">
        <v>400</v>
      </c>
      <c r="K39" s="221">
        <v>400</v>
      </c>
      <c r="L39" s="221">
        <v>456</v>
      </c>
      <c r="M39" s="221">
        <v>456</v>
      </c>
      <c r="N39" s="221">
        <v>456</v>
      </c>
      <c r="O39" s="221">
        <v>370</v>
      </c>
      <c r="P39" s="221">
        <v>370</v>
      </c>
      <c r="Q39" s="221">
        <v>400</v>
      </c>
      <c r="R39" s="221">
        <v>420</v>
      </c>
      <c r="S39" s="221"/>
      <c r="T39" s="221">
        <v>420</v>
      </c>
      <c r="U39" s="221">
        <v>456</v>
      </c>
      <c r="V39" s="221">
        <v>456</v>
      </c>
      <c r="W39" s="221">
        <v>456</v>
      </c>
      <c r="X39" s="221">
        <v>456</v>
      </c>
      <c r="Y39" s="221">
        <v>456</v>
      </c>
      <c r="Z39" s="221">
        <v>456</v>
      </c>
      <c r="AA39" s="221">
        <v>456</v>
      </c>
      <c r="AB39" s="221">
        <v>456</v>
      </c>
      <c r="AC39" s="221">
        <v>456</v>
      </c>
      <c r="AD39" s="221">
        <v>456</v>
      </c>
      <c r="AE39" s="221">
        <v>456</v>
      </c>
      <c r="AF39" s="221">
        <v>320</v>
      </c>
      <c r="AG39" s="230">
        <v>456</v>
      </c>
      <c r="AH39" s="226">
        <f t="shared" si="2"/>
        <v>456</v>
      </c>
      <c r="AI39" s="227">
        <f t="shared" si="3"/>
        <v>320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>
        <v>60</v>
      </c>
      <c r="F40" s="245">
        <v>60</v>
      </c>
      <c r="G40" s="245">
        <v>60</v>
      </c>
      <c r="H40" s="245">
        <v>60</v>
      </c>
      <c r="I40" s="245">
        <v>60</v>
      </c>
      <c r="J40" s="245">
        <v>60</v>
      </c>
      <c r="K40" s="245">
        <v>60</v>
      </c>
      <c r="L40" s="245">
        <v>60</v>
      </c>
      <c r="M40" s="245">
        <v>60</v>
      </c>
      <c r="N40" s="245">
        <v>60</v>
      </c>
      <c r="O40" s="245">
        <v>60</v>
      </c>
      <c r="P40" s="245">
        <v>60</v>
      </c>
      <c r="Q40" s="245">
        <v>60</v>
      </c>
      <c r="R40" s="245">
        <v>60</v>
      </c>
      <c r="S40" s="245"/>
      <c r="T40" s="245">
        <v>60</v>
      </c>
      <c r="U40" s="245">
        <v>60</v>
      </c>
      <c r="V40" s="245">
        <v>60</v>
      </c>
      <c r="W40" s="245">
        <v>60</v>
      </c>
      <c r="X40" s="245">
        <v>60</v>
      </c>
      <c r="Y40" s="245">
        <v>60</v>
      </c>
      <c r="Z40" s="245">
        <v>60</v>
      </c>
      <c r="AA40" s="245">
        <v>60</v>
      </c>
      <c r="AB40" s="245">
        <v>60</v>
      </c>
      <c r="AC40" s="245">
        <v>60</v>
      </c>
      <c r="AD40" s="245">
        <v>60</v>
      </c>
      <c r="AE40" s="245">
        <v>60</v>
      </c>
      <c r="AF40" s="245">
        <v>60</v>
      </c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</v>
      </c>
      <c r="C41" s="247">
        <v>22</v>
      </c>
      <c r="D41" s="247">
        <v>22</v>
      </c>
      <c r="E41" s="247">
        <v>22</v>
      </c>
      <c r="F41" s="247">
        <v>22</v>
      </c>
      <c r="G41" s="247">
        <v>22</v>
      </c>
      <c r="H41" s="247">
        <v>22</v>
      </c>
      <c r="I41" s="247">
        <v>22</v>
      </c>
      <c r="J41" s="247">
        <v>22</v>
      </c>
      <c r="K41" s="247">
        <v>22</v>
      </c>
      <c r="L41" s="247">
        <v>22</v>
      </c>
      <c r="M41" s="247">
        <v>22</v>
      </c>
      <c r="N41" s="247">
        <v>22</v>
      </c>
      <c r="O41" s="247">
        <v>22</v>
      </c>
      <c r="P41" s="247">
        <v>22</v>
      </c>
      <c r="Q41" s="247">
        <v>22</v>
      </c>
      <c r="R41" s="247">
        <v>22</v>
      </c>
      <c r="S41" s="247"/>
      <c r="T41" s="247">
        <v>22</v>
      </c>
      <c r="U41" s="247">
        <v>22</v>
      </c>
      <c r="V41" s="247">
        <v>22</v>
      </c>
      <c r="W41" s="247">
        <v>22</v>
      </c>
      <c r="X41" s="247">
        <v>22</v>
      </c>
      <c r="Y41" s="247">
        <v>22</v>
      </c>
      <c r="Z41" s="247">
        <v>22</v>
      </c>
      <c r="AA41" s="247">
        <v>22</v>
      </c>
      <c r="AB41" s="247">
        <v>22</v>
      </c>
      <c r="AC41" s="247">
        <v>22</v>
      </c>
      <c r="AD41" s="247">
        <v>22</v>
      </c>
      <c r="AE41" s="247">
        <v>22</v>
      </c>
      <c r="AF41" s="247">
        <v>22</v>
      </c>
      <c r="AG41" s="248">
        <v>22.1</v>
      </c>
      <c r="AH41" s="226">
        <f t="shared" si="2"/>
        <v>22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538</v>
      </c>
      <c r="C42" s="241">
        <f t="shared" ref="C42:AG42" si="6">SUM(C39:C41)</f>
        <v>538</v>
      </c>
      <c r="D42" s="241">
        <f t="shared" si="6"/>
        <v>538</v>
      </c>
      <c r="E42" s="241">
        <f t="shared" si="6"/>
        <v>538</v>
      </c>
      <c r="F42" s="241">
        <f t="shared" si="6"/>
        <v>538</v>
      </c>
      <c r="G42" s="241">
        <f t="shared" si="6"/>
        <v>538</v>
      </c>
      <c r="H42" s="241">
        <f t="shared" si="6"/>
        <v>538</v>
      </c>
      <c r="I42" s="241">
        <f t="shared" si="6"/>
        <v>482</v>
      </c>
      <c r="J42" s="241">
        <f t="shared" si="6"/>
        <v>482</v>
      </c>
      <c r="K42" s="241">
        <f t="shared" si="6"/>
        <v>482</v>
      </c>
      <c r="L42" s="241">
        <f t="shared" si="6"/>
        <v>538</v>
      </c>
      <c r="M42" s="241">
        <f t="shared" si="6"/>
        <v>538</v>
      </c>
      <c r="N42" s="241">
        <f t="shared" si="6"/>
        <v>538</v>
      </c>
      <c r="O42" s="241">
        <f t="shared" si="6"/>
        <v>452</v>
      </c>
      <c r="P42" s="241">
        <f t="shared" si="6"/>
        <v>452</v>
      </c>
      <c r="Q42" s="241">
        <f t="shared" si="6"/>
        <v>482</v>
      </c>
      <c r="R42" s="241">
        <f t="shared" si="6"/>
        <v>502</v>
      </c>
      <c r="S42" s="241">
        <f t="shared" si="6"/>
        <v>0</v>
      </c>
      <c r="T42" s="241">
        <f t="shared" si="6"/>
        <v>502</v>
      </c>
      <c r="U42" s="241">
        <f t="shared" si="6"/>
        <v>538</v>
      </c>
      <c r="V42" s="241">
        <f t="shared" si="6"/>
        <v>538</v>
      </c>
      <c r="W42" s="241">
        <f t="shared" si="6"/>
        <v>538</v>
      </c>
      <c r="X42" s="241">
        <f t="shared" si="6"/>
        <v>538</v>
      </c>
      <c r="Y42" s="241">
        <f t="shared" si="6"/>
        <v>538</v>
      </c>
      <c r="Z42" s="241">
        <f t="shared" si="6"/>
        <v>538</v>
      </c>
      <c r="AA42" s="241">
        <f t="shared" si="6"/>
        <v>538</v>
      </c>
      <c r="AB42" s="241">
        <f t="shared" si="6"/>
        <v>538</v>
      </c>
      <c r="AC42" s="241">
        <f t="shared" si="6"/>
        <v>538</v>
      </c>
      <c r="AD42" s="241">
        <f t="shared" si="6"/>
        <v>538</v>
      </c>
      <c r="AE42" s="241">
        <f t="shared" si="6"/>
        <v>538</v>
      </c>
      <c r="AF42" s="241">
        <f t="shared" si="6"/>
        <v>402</v>
      </c>
      <c r="AG42" s="242">
        <f t="shared" si="6"/>
        <v>538.1</v>
      </c>
      <c r="AH42" s="226">
        <f t="shared" si="2"/>
        <v>538</v>
      </c>
      <c r="AI42" s="227">
        <f t="shared" si="3"/>
        <v>0</v>
      </c>
      <c r="AK42" s="228"/>
    </row>
    <row r="43" spans="1:88" x14ac:dyDescent="0.25">
      <c r="A43" s="220" t="s">
        <v>51</v>
      </c>
      <c r="B43" s="221">
        <v>107</v>
      </c>
      <c r="C43" s="221">
        <v>107</v>
      </c>
      <c r="D43" s="221">
        <v>107</v>
      </c>
      <c r="E43" s="221">
        <v>106.3</v>
      </c>
      <c r="F43" s="221">
        <v>127.3</v>
      </c>
      <c r="G43" s="221">
        <v>127.3</v>
      </c>
      <c r="H43" s="221">
        <v>127.2</v>
      </c>
      <c r="I43" s="221">
        <v>111.5</v>
      </c>
      <c r="J43" s="221">
        <v>111.5</v>
      </c>
      <c r="K43" s="221">
        <v>111.4</v>
      </c>
      <c r="L43" s="221">
        <v>111.4</v>
      </c>
      <c r="M43" s="221">
        <v>111.3</v>
      </c>
      <c r="N43" s="221">
        <v>111.3</v>
      </c>
      <c r="O43" s="221">
        <v>111.3</v>
      </c>
      <c r="P43" s="221">
        <v>140.30000000000001</v>
      </c>
      <c r="Q43" s="221">
        <v>140.30000000000001</v>
      </c>
      <c r="R43" s="221">
        <v>121.3</v>
      </c>
      <c r="S43" s="221"/>
      <c r="T43" s="221">
        <v>115</v>
      </c>
      <c r="U43" s="221">
        <v>121</v>
      </c>
      <c r="V43" s="221">
        <v>121</v>
      </c>
      <c r="W43" s="221">
        <v>120</v>
      </c>
      <c r="X43" s="221">
        <v>120</v>
      </c>
      <c r="Y43" s="221">
        <v>140</v>
      </c>
      <c r="Z43" s="221">
        <v>140</v>
      </c>
      <c r="AA43" s="221">
        <v>140</v>
      </c>
      <c r="AB43" s="221">
        <v>140</v>
      </c>
      <c r="AC43" s="221">
        <v>140</v>
      </c>
      <c r="AD43" s="221">
        <v>140</v>
      </c>
      <c r="AE43" s="221">
        <v>110</v>
      </c>
      <c r="AF43" s="221">
        <v>81</v>
      </c>
      <c r="AG43" s="230">
        <v>144</v>
      </c>
      <c r="AH43" s="226">
        <f t="shared" si="2"/>
        <v>140.30000000000001</v>
      </c>
      <c r="AI43" s="227">
        <f t="shared" si="3"/>
        <v>81</v>
      </c>
      <c r="AK43" s="228"/>
    </row>
    <row r="44" spans="1:88" x14ac:dyDescent="0.25">
      <c r="A44" s="234" t="s">
        <v>52</v>
      </c>
      <c r="B44" s="245">
        <v>56</v>
      </c>
      <c r="C44" s="245">
        <v>46.6</v>
      </c>
      <c r="D44" s="245">
        <v>46.6</v>
      </c>
      <c r="E44" s="245">
        <v>46</v>
      </c>
      <c r="F44" s="245">
        <v>0</v>
      </c>
      <c r="G44" s="245">
        <v>0</v>
      </c>
      <c r="H44" s="245">
        <v>0</v>
      </c>
      <c r="I44" s="245">
        <v>35.1</v>
      </c>
      <c r="J44" s="245">
        <v>35.1</v>
      </c>
      <c r="K44" s="245">
        <v>48.8</v>
      </c>
      <c r="L44" s="245">
        <v>48.8</v>
      </c>
      <c r="M44" s="221">
        <v>69.400000000000006</v>
      </c>
      <c r="N44" s="221">
        <v>69.400000000000006</v>
      </c>
      <c r="O44" s="221">
        <v>60</v>
      </c>
      <c r="P44" s="221">
        <v>71.7</v>
      </c>
      <c r="Q44" s="221">
        <v>71.099999999999994</v>
      </c>
      <c r="R44" s="221">
        <v>73.099999999999994</v>
      </c>
      <c r="S44" s="245"/>
      <c r="T44" s="221">
        <v>73.099999999999994</v>
      </c>
      <c r="U44" s="221">
        <v>73.099999999999994</v>
      </c>
      <c r="V44" s="221">
        <v>60.7</v>
      </c>
      <c r="W44" s="245">
        <v>60</v>
      </c>
      <c r="X44" s="245">
        <v>60</v>
      </c>
      <c r="Y44" s="245">
        <v>73.400000000000006</v>
      </c>
      <c r="Z44" s="245">
        <v>73.400000000000006</v>
      </c>
      <c r="AA44" s="245">
        <v>73.400000000000006</v>
      </c>
      <c r="AB44" s="245">
        <v>73.400000000000006</v>
      </c>
      <c r="AC44" s="245">
        <v>73.400000000000006</v>
      </c>
      <c r="AD44" s="245">
        <v>73.400000000000006</v>
      </c>
      <c r="AE44" s="245">
        <v>51</v>
      </c>
      <c r="AF44" s="245">
        <v>50</v>
      </c>
      <c r="AG44" s="235">
        <v>70</v>
      </c>
      <c r="AH44" s="226">
        <f t="shared" si="2"/>
        <v>73.400000000000006</v>
      </c>
      <c r="AI44" s="227">
        <f t="shared" si="3"/>
        <v>0</v>
      </c>
      <c r="AK44" s="228"/>
    </row>
    <row r="45" spans="1:88" x14ac:dyDescent="0.25">
      <c r="A45" s="234" t="s">
        <v>53</v>
      </c>
      <c r="B45" s="245">
        <v>52</v>
      </c>
      <c r="C45" s="245">
        <v>52</v>
      </c>
      <c r="D45" s="245">
        <v>52</v>
      </c>
      <c r="E45" s="245">
        <v>51.7</v>
      </c>
      <c r="F45" s="245">
        <v>64.3</v>
      </c>
      <c r="G45" s="245">
        <v>64.3</v>
      </c>
      <c r="H45" s="245">
        <v>64.5</v>
      </c>
      <c r="I45" s="245">
        <v>52.6</v>
      </c>
      <c r="J45" s="245">
        <v>52.6</v>
      </c>
      <c r="K45" s="245">
        <v>53.1</v>
      </c>
      <c r="L45" s="245">
        <v>53.1</v>
      </c>
      <c r="M45" s="221">
        <v>63.9</v>
      </c>
      <c r="N45" s="221">
        <v>63.9</v>
      </c>
      <c r="O45" s="221">
        <v>57.6</v>
      </c>
      <c r="P45" s="221">
        <v>64.7</v>
      </c>
      <c r="Q45" s="221">
        <v>64.2</v>
      </c>
      <c r="R45" s="221">
        <v>64.3</v>
      </c>
      <c r="S45" s="245"/>
      <c r="T45" s="221">
        <v>64.3</v>
      </c>
      <c r="U45" s="221">
        <v>64.3</v>
      </c>
      <c r="V45" s="221">
        <v>64.3</v>
      </c>
      <c r="W45" s="245">
        <v>51.2</v>
      </c>
      <c r="X45" s="245">
        <v>51.2</v>
      </c>
      <c r="Y45" s="245">
        <v>64.099999999999994</v>
      </c>
      <c r="Z45" s="245">
        <v>64.099999999999994</v>
      </c>
      <c r="AA45" s="245">
        <v>64.099999999999994</v>
      </c>
      <c r="AB45" s="245">
        <v>64.099999999999994</v>
      </c>
      <c r="AC45" s="245">
        <v>64.099999999999994</v>
      </c>
      <c r="AD45" s="245">
        <v>64.099999999999994</v>
      </c>
      <c r="AE45" s="245">
        <v>51</v>
      </c>
      <c r="AF45" s="245">
        <v>52</v>
      </c>
      <c r="AG45" s="235">
        <v>69</v>
      </c>
      <c r="AH45" s="226">
        <f t="shared" si="2"/>
        <v>64.7</v>
      </c>
      <c r="AI45" s="227">
        <f t="shared" si="3"/>
        <v>51</v>
      </c>
      <c r="AK45" s="228"/>
    </row>
    <row r="46" spans="1:88" x14ac:dyDescent="0.25">
      <c r="A46" s="234" t="s">
        <v>54</v>
      </c>
      <c r="B46" s="237">
        <v>42</v>
      </c>
      <c r="C46" s="237">
        <v>42</v>
      </c>
      <c r="D46" s="237">
        <v>42</v>
      </c>
      <c r="E46" s="237">
        <v>22.7</v>
      </c>
      <c r="F46" s="237">
        <v>52.4</v>
      </c>
      <c r="G46" s="237">
        <v>52.4</v>
      </c>
      <c r="H46" s="237">
        <v>52.7</v>
      </c>
      <c r="I46" s="237">
        <v>41.8</v>
      </c>
      <c r="J46" s="237">
        <v>41.8</v>
      </c>
      <c r="K46" s="237">
        <v>42.1</v>
      </c>
      <c r="L46" s="237">
        <v>59</v>
      </c>
      <c r="M46" s="221">
        <v>60.7</v>
      </c>
      <c r="N46" s="221">
        <v>60.7</v>
      </c>
      <c r="O46" s="221">
        <v>40.799999999999997</v>
      </c>
      <c r="P46" s="221">
        <v>61.2</v>
      </c>
      <c r="Q46" s="221">
        <v>60.9</v>
      </c>
      <c r="R46" s="221">
        <v>49.4</v>
      </c>
      <c r="S46" s="221"/>
      <c r="T46" s="221">
        <v>62</v>
      </c>
      <c r="U46" s="221">
        <v>62</v>
      </c>
      <c r="V46" s="221">
        <v>62</v>
      </c>
      <c r="W46" s="245">
        <v>51.1</v>
      </c>
      <c r="X46" s="245">
        <v>51.1</v>
      </c>
      <c r="Y46" s="245">
        <v>60.7</v>
      </c>
      <c r="Z46" s="245">
        <v>60.7</v>
      </c>
      <c r="AA46" s="245">
        <v>60.7</v>
      </c>
      <c r="AB46" s="245">
        <v>60.7</v>
      </c>
      <c r="AC46" s="245">
        <v>60.7</v>
      </c>
      <c r="AD46" s="245">
        <v>60.7</v>
      </c>
      <c r="AE46" s="245">
        <v>41</v>
      </c>
      <c r="AF46" s="237">
        <v>41</v>
      </c>
      <c r="AG46" s="235">
        <v>60</v>
      </c>
      <c r="AH46" s="226">
        <f t="shared" si="2"/>
        <v>62</v>
      </c>
      <c r="AI46" s="227">
        <f t="shared" si="3"/>
        <v>22.7</v>
      </c>
      <c r="AK46" s="228"/>
    </row>
    <row r="47" spans="1:88" x14ac:dyDescent="0.25">
      <c r="A47" s="234" t="s">
        <v>55</v>
      </c>
      <c r="B47" s="237">
        <v>29</v>
      </c>
      <c r="C47" s="237">
        <v>29</v>
      </c>
      <c r="D47" s="237">
        <v>29</v>
      </c>
      <c r="E47" s="237">
        <v>29</v>
      </c>
      <c r="F47" s="237">
        <v>29</v>
      </c>
      <c r="G47" s="237">
        <v>29</v>
      </c>
      <c r="H47" s="237">
        <v>29</v>
      </c>
      <c r="I47" s="237">
        <v>29</v>
      </c>
      <c r="J47" s="237">
        <v>29</v>
      </c>
      <c r="K47" s="237">
        <v>29</v>
      </c>
      <c r="L47" s="237">
        <v>29</v>
      </c>
      <c r="M47" s="221">
        <v>29</v>
      </c>
      <c r="N47" s="221">
        <v>29</v>
      </c>
      <c r="O47" s="221">
        <v>28.6</v>
      </c>
      <c r="P47" s="221">
        <v>28.6</v>
      </c>
      <c r="Q47" s="221">
        <v>28.6</v>
      </c>
      <c r="R47" s="221">
        <v>28.6</v>
      </c>
      <c r="S47" s="221"/>
      <c r="T47" s="221">
        <v>28.6</v>
      </c>
      <c r="U47" s="221">
        <v>28.6</v>
      </c>
      <c r="V47" s="221">
        <v>28.6</v>
      </c>
      <c r="W47" s="221">
        <v>28.6</v>
      </c>
      <c r="X47" s="221">
        <v>28.6</v>
      </c>
      <c r="Y47" s="221">
        <v>28.6</v>
      </c>
      <c r="Z47" s="221">
        <v>28.6</v>
      </c>
      <c r="AA47" s="221">
        <v>28.6</v>
      </c>
      <c r="AB47" s="221">
        <v>28.6</v>
      </c>
      <c r="AC47" s="221">
        <v>28.6</v>
      </c>
      <c r="AD47" s="221">
        <v>28.6</v>
      </c>
      <c r="AE47" s="221">
        <v>0</v>
      </c>
      <c r="AF47" s="221">
        <v>0</v>
      </c>
      <c r="AG47" s="235">
        <v>30</v>
      </c>
      <c r="AH47" s="226">
        <f t="shared" si="2"/>
        <v>29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>
        <v>0</v>
      </c>
      <c r="F48" s="245">
        <v>0</v>
      </c>
      <c r="G48" s="245">
        <v>0</v>
      </c>
      <c r="H48" s="245">
        <v>0</v>
      </c>
      <c r="I48" s="245">
        <v>0</v>
      </c>
      <c r="J48" s="245">
        <v>0</v>
      </c>
      <c r="K48" s="237">
        <v>0.65</v>
      </c>
      <c r="L48" s="237">
        <v>0.69</v>
      </c>
      <c r="M48" s="221">
        <v>2.2000000000000002</v>
      </c>
      <c r="N48" s="221">
        <v>2.23</v>
      </c>
      <c r="O48" s="221">
        <v>2.87</v>
      </c>
      <c r="P48" s="221">
        <v>7.5</v>
      </c>
      <c r="Q48" s="221">
        <v>12.75</v>
      </c>
      <c r="R48" s="221">
        <v>12</v>
      </c>
      <c r="S48" s="221"/>
      <c r="T48" s="221">
        <v>12</v>
      </c>
      <c r="U48" s="221">
        <v>12</v>
      </c>
      <c r="V48" s="221">
        <v>12</v>
      </c>
      <c r="W48" s="221">
        <v>6</v>
      </c>
      <c r="X48" s="221">
        <v>0</v>
      </c>
      <c r="Y48" s="221">
        <v>0</v>
      </c>
      <c r="Z48" s="221">
        <v>0</v>
      </c>
      <c r="AA48" s="221">
        <v>0</v>
      </c>
      <c r="AB48" s="221">
        <v>0</v>
      </c>
      <c r="AC48" s="221">
        <v>0</v>
      </c>
      <c r="AD48" s="221">
        <v>0</v>
      </c>
      <c r="AE48" s="221">
        <v>0</v>
      </c>
      <c r="AF48" s="221">
        <v>0</v>
      </c>
      <c r="AG48" s="235">
        <v>25</v>
      </c>
      <c r="AH48" s="226">
        <f t="shared" si="2"/>
        <v>12.75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17.2</v>
      </c>
      <c r="C49" s="245">
        <v>17.2</v>
      </c>
      <c r="D49" s="245">
        <v>17.2</v>
      </c>
      <c r="E49" s="245">
        <v>17.100000000000001</v>
      </c>
      <c r="F49" s="245">
        <v>17.100000000000001</v>
      </c>
      <c r="G49" s="245">
        <v>17.100000000000001</v>
      </c>
      <c r="H49" s="245">
        <v>17.100000000000001</v>
      </c>
      <c r="I49" s="245">
        <v>17.100000000000001</v>
      </c>
      <c r="J49" s="245">
        <v>17.100000000000001</v>
      </c>
      <c r="K49" s="245">
        <v>17.2</v>
      </c>
      <c r="L49" s="245">
        <v>17.2</v>
      </c>
      <c r="M49" s="221">
        <v>17.100000000000001</v>
      </c>
      <c r="N49" s="221">
        <v>17.100000000000001</v>
      </c>
      <c r="O49" s="221">
        <v>15.7</v>
      </c>
      <c r="P49" s="221">
        <v>15.7</v>
      </c>
      <c r="Q49" s="221">
        <v>16.3</v>
      </c>
      <c r="R49" s="221">
        <v>16.399999999999999</v>
      </c>
      <c r="S49" s="221"/>
      <c r="T49" s="221">
        <v>16.399999999999999</v>
      </c>
      <c r="U49" s="221">
        <v>16.399999999999999</v>
      </c>
      <c r="V49" s="221">
        <v>16.399999999999999</v>
      </c>
      <c r="W49" s="221">
        <v>16.399999999999999</v>
      </c>
      <c r="X49" s="221">
        <v>16.399999999999999</v>
      </c>
      <c r="Y49" s="221">
        <v>16.399999999999999</v>
      </c>
      <c r="Z49" s="221">
        <v>16.399999999999999</v>
      </c>
      <c r="AA49" s="221">
        <v>16.399999999999999</v>
      </c>
      <c r="AB49" s="221">
        <v>16.399999999999999</v>
      </c>
      <c r="AC49" s="221">
        <v>16.399999999999999</v>
      </c>
      <c r="AD49" s="221">
        <v>16.399999999999999</v>
      </c>
      <c r="AE49" s="221">
        <v>16.399999999999999</v>
      </c>
      <c r="AF49" s="221">
        <v>16.399999999999999</v>
      </c>
      <c r="AG49" s="235">
        <v>24</v>
      </c>
      <c r="AH49" s="226">
        <f t="shared" si="2"/>
        <v>17.2</v>
      </c>
      <c r="AI49" s="227">
        <f t="shared" si="3"/>
        <v>15.7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>
        <v>3</v>
      </c>
      <c r="F50" s="245">
        <v>3</v>
      </c>
      <c r="G50" s="245">
        <v>3</v>
      </c>
      <c r="H50" s="245">
        <v>3</v>
      </c>
      <c r="I50" s="245">
        <v>3</v>
      </c>
      <c r="J50" s="245">
        <v>3</v>
      </c>
      <c r="K50" s="245">
        <v>3</v>
      </c>
      <c r="L50" s="245">
        <v>3</v>
      </c>
      <c r="M50" s="221">
        <v>3</v>
      </c>
      <c r="N50" s="221">
        <v>3</v>
      </c>
      <c r="O50" s="221">
        <v>3</v>
      </c>
      <c r="P50" s="221">
        <v>3</v>
      </c>
      <c r="Q50" s="221">
        <v>3</v>
      </c>
      <c r="R50" s="221">
        <v>3</v>
      </c>
      <c r="S50" s="221"/>
      <c r="T50" s="221">
        <v>3</v>
      </c>
      <c r="U50" s="221">
        <v>3</v>
      </c>
      <c r="V50" s="221">
        <v>3</v>
      </c>
      <c r="W50" s="221">
        <v>3</v>
      </c>
      <c r="X50" s="221">
        <v>3</v>
      </c>
      <c r="Y50" s="221">
        <v>3</v>
      </c>
      <c r="Z50" s="221">
        <v>3</v>
      </c>
      <c r="AA50" s="221">
        <v>3</v>
      </c>
      <c r="AB50" s="221">
        <v>3</v>
      </c>
      <c r="AC50" s="221">
        <v>3</v>
      </c>
      <c r="AD50" s="221">
        <v>3</v>
      </c>
      <c r="AE50" s="221">
        <v>3</v>
      </c>
      <c r="AF50" s="221">
        <v>3</v>
      </c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13.6</v>
      </c>
      <c r="C51" s="245">
        <v>13.6</v>
      </c>
      <c r="D51" s="245">
        <v>13.6</v>
      </c>
      <c r="E51" s="245">
        <v>13.2</v>
      </c>
      <c r="F51" s="245">
        <v>13.2</v>
      </c>
      <c r="G51" s="245">
        <v>13.2</v>
      </c>
      <c r="H51" s="245">
        <v>13.2</v>
      </c>
      <c r="I51" s="245">
        <v>13.2</v>
      </c>
      <c r="J51" s="245">
        <v>13.2</v>
      </c>
      <c r="K51" s="245">
        <v>12.7</v>
      </c>
      <c r="L51" s="245">
        <v>12.7</v>
      </c>
      <c r="M51" s="221">
        <v>13.4</v>
      </c>
      <c r="N51" s="221">
        <v>13.4</v>
      </c>
      <c r="O51" s="221">
        <v>13.6</v>
      </c>
      <c r="P51" s="221">
        <v>12.8</v>
      </c>
      <c r="Q51" s="221">
        <v>12.8</v>
      </c>
      <c r="R51" s="221">
        <v>12.9</v>
      </c>
      <c r="S51" s="221"/>
      <c r="T51" s="221">
        <v>12.9</v>
      </c>
      <c r="U51" s="221">
        <v>12.9</v>
      </c>
      <c r="V51" s="221">
        <v>12.9</v>
      </c>
      <c r="W51" s="221">
        <v>12.9</v>
      </c>
      <c r="X51" s="221">
        <v>12.9</v>
      </c>
      <c r="Y51" s="221">
        <v>12.9</v>
      </c>
      <c r="Z51" s="221">
        <v>12.9</v>
      </c>
      <c r="AA51" s="221">
        <v>12.9</v>
      </c>
      <c r="AB51" s="221">
        <v>12.9</v>
      </c>
      <c r="AC51" s="221">
        <v>12.9</v>
      </c>
      <c r="AD51" s="221">
        <v>12.9</v>
      </c>
      <c r="AE51" s="221">
        <v>12.9</v>
      </c>
      <c r="AF51" s="221">
        <v>12.9</v>
      </c>
      <c r="AG51" s="235">
        <v>14.1</v>
      </c>
      <c r="AH51" s="226">
        <f t="shared" si="2"/>
        <v>13.6</v>
      </c>
      <c r="AI51" s="227">
        <f t="shared" si="3"/>
        <v>12.7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10</v>
      </c>
      <c r="C52" s="245">
        <v>7</v>
      </c>
      <c r="D52" s="245">
        <v>7</v>
      </c>
      <c r="E52" s="245">
        <v>7.2</v>
      </c>
      <c r="F52" s="245">
        <v>7.2</v>
      </c>
      <c r="G52" s="245">
        <v>7.2</v>
      </c>
      <c r="H52" s="245">
        <v>7.2</v>
      </c>
      <c r="I52" s="245">
        <v>7.2</v>
      </c>
      <c r="J52" s="245">
        <v>7.2</v>
      </c>
      <c r="K52" s="245">
        <v>7.1</v>
      </c>
      <c r="L52" s="245">
        <v>7.1</v>
      </c>
      <c r="M52" s="221">
        <v>7.1</v>
      </c>
      <c r="N52" s="221">
        <v>7.1</v>
      </c>
      <c r="O52" s="221">
        <v>7.1</v>
      </c>
      <c r="P52" s="221">
        <v>7.1</v>
      </c>
      <c r="Q52" s="221">
        <v>7</v>
      </c>
      <c r="R52" s="221">
        <v>5.8</v>
      </c>
      <c r="S52" s="221"/>
      <c r="T52" s="221">
        <v>5.8</v>
      </c>
      <c r="U52" s="221">
        <v>5.8</v>
      </c>
      <c r="V52" s="221">
        <v>5.8</v>
      </c>
      <c r="W52" s="221">
        <v>5.8</v>
      </c>
      <c r="X52" s="221">
        <v>5.8</v>
      </c>
      <c r="Y52" s="221">
        <v>5.8</v>
      </c>
      <c r="Z52" s="221">
        <v>5.8</v>
      </c>
      <c r="AA52" s="221">
        <v>5.8</v>
      </c>
      <c r="AB52" s="221">
        <v>5.8</v>
      </c>
      <c r="AC52" s="221">
        <v>5.8</v>
      </c>
      <c r="AD52" s="221">
        <v>5.8</v>
      </c>
      <c r="AE52" s="221">
        <v>4.8</v>
      </c>
      <c r="AF52" s="221">
        <v>4.8</v>
      </c>
      <c r="AG52" s="235">
        <v>14</v>
      </c>
      <c r="AH52" s="226">
        <f t="shared" si="2"/>
        <v>10</v>
      </c>
      <c r="AI52" s="227">
        <f t="shared" si="3"/>
        <v>4.8</v>
      </c>
      <c r="AK52" s="228"/>
    </row>
    <row r="53" spans="1:41" x14ac:dyDescent="0.25">
      <c r="A53" s="234" t="s">
        <v>61</v>
      </c>
      <c r="B53" s="245">
        <v>9</v>
      </c>
      <c r="C53" s="245">
        <v>9</v>
      </c>
      <c r="D53" s="245">
        <v>9</v>
      </c>
      <c r="E53" s="245">
        <v>9</v>
      </c>
      <c r="F53" s="245">
        <v>9</v>
      </c>
      <c r="G53" s="245">
        <v>9</v>
      </c>
      <c r="H53" s="245">
        <v>9</v>
      </c>
      <c r="I53" s="245">
        <v>9</v>
      </c>
      <c r="J53" s="245">
        <v>9</v>
      </c>
      <c r="K53" s="245">
        <v>9</v>
      </c>
      <c r="L53" s="245">
        <v>9</v>
      </c>
      <c r="M53" s="221">
        <v>9</v>
      </c>
      <c r="N53" s="221">
        <v>9</v>
      </c>
      <c r="O53" s="221">
        <v>9</v>
      </c>
      <c r="P53" s="221">
        <v>9</v>
      </c>
      <c r="Q53" s="221">
        <v>9</v>
      </c>
      <c r="R53" s="221">
        <v>9</v>
      </c>
      <c r="S53" s="221"/>
      <c r="T53" s="221">
        <v>9</v>
      </c>
      <c r="U53" s="221">
        <v>9</v>
      </c>
      <c r="V53" s="221">
        <v>9</v>
      </c>
      <c r="W53" s="221">
        <v>9</v>
      </c>
      <c r="X53" s="221">
        <v>9</v>
      </c>
      <c r="Y53" s="221">
        <v>9</v>
      </c>
      <c r="Z53" s="221">
        <v>9</v>
      </c>
      <c r="AA53" s="221">
        <v>9</v>
      </c>
      <c r="AB53" s="221">
        <v>9</v>
      </c>
      <c r="AC53" s="221">
        <v>9</v>
      </c>
      <c r="AD53" s="221">
        <v>9</v>
      </c>
      <c r="AE53" s="221">
        <v>9</v>
      </c>
      <c r="AF53" s="221">
        <v>9</v>
      </c>
      <c r="AG53" s="235">
        <v>10.050000000000001</v>
      </c>
      <c r="AH53" s="226">
        <f t="shared" si="2"/>
        <v>9</v>
      </c>
      <c r="AI53" s="227">
        <f t="shared" si="3"/>
        <v>9</v>
      </c>
      <c r="AK53" s="228"/>
    </row>
    <row r="54" spans="1:41" x14ac:dyDescent="0.25">
      <c r="A54" s="234" t="s">
        <v>62</v>
      </c>
      <c r="B54" s="245">
        <v>6</v>
      </c>
      <c r="C54" s="245">
        <v>6</v>
      </c>
      <c r="D54" s="245">
        <v>6</v>
      </c>
      <c r="E54" s="245">
        <v>6</v>
      </c>
      <c r="F54" s="245">
        <v>6</v>
      </c>
      <c r="G54" s="245">
        <v>6</v>
      </c>
      <c r="H54" s="245">
        <v>6</v>
      </c>
      <c r="I54" s="245">
        <v>6</v>
      </c>
      <c r="J54" s="245">
        <v>6</v>
      </c>
      <c r="K54" s="245">
        <v>6</v>
      </c>
      <c r="L54" s="245">
        <v>6</v>
      </c>
      <c r="M54" s="221">
        <v>6</v>
      </c>
      <c r="N54" s="221">
        <v>6</v>
      </c>
      <c r="O54" s="221">
        <v>6</v>
      </c>
      <c r="P54" s="221">
        <v>6</v>
      </c>
      <c r="Q54" s="221">
        <v>6.2</v>
      </c>
      <c r="R54" s="221">
        <v>6.2</v>
      </c>
      <c r="S54" s="221"/>
      <c r="T54" s="221">
        <v>6.2</v>
      </c>
      <c r="U54" s="221">
        <v>6.2</v>
      </c>
      <c r="V54" s="221">
        <v>6.2</v>
      </c>
      <c r="W54" s="221">
        <v>6.2</v>
      </c>
      <c r="X54" s="221">
        <v>6.2</v>
      </c>
      <c r="Y54" s="221">
        <v>6.2</v>
      </c>
      <c r="Z54" s="221">
        <v>6.2</v>
      </c>
      <c r="AA54" s="221">
        <v>6.2</v>
      </c>
      <c r="AB54" s="221">
        <v>6.2</v>
      </c>
      <c r="AC54" s="221">
        <v>6.2</v>
      </c>
      <c r="AD54" s="221">
        <v>6.2</v>
      </c>
      <c r="AE54" s="221">
        <v>6.2</v>
      </c>
      <c r="AF54" s="221">
        <v>6.2</v>
      </c>
      <c r="AG54" s="235">
        <v>6.2</v>
      </c>
      <c r="AH54" s="226">
        <f t="shared" si="2"/>
        <v>6.2</v>
      </c>
      <c r="AI54" s="227">
        <f t="shared" si="3"/>
        <v>6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348.34000000000003</v>
      </c>
      <c r="C56" s="241">
        <f t="shared" ref="C56:AG56" si="7">SUM(C43:C55)</f>
        <v>335.94000000000005</v>
      </c>
      <c r="D56" s="241">
        <f t="shared" si="7"/>
        <v>335.94000000000005</v>
      </c>
      <c r="E56" s="241">
        <f t="shared" si="7"/>
        <v>314.74</v>
      </c>
      <c r="F56" s="241">
        <f t="shared" si="7"/>
        <v>332.04</v>
      </c>
      <c r="G56" s="241">
        <f t="shared" si="7"/>
        <v>332.04</v>
      </c>
      <c r="H56" s="241">
        <f t="shared" si="7"/>
        <v>332.44</v>
      </c>
      <c r="I56" s="241">
        <f t="shared" si="7"/>
        <v>329.04</v>
      </c>
      <c r="J56" s="241">
        <f t="shared" si="7"/>
        <v>329.04</v>
      </c>
      <c r="K56" s="241">
        <f t="shared" si="7"/>
        <v>343.59</v>
      </c>
      <c r="L56" s="241">
        <f t="shared" si="7"/>
        <v>360.53</v>
      </c>
      <c r="M56" s="241">
        <f t="shared" si="7"/>
        <v>395.64000000000004</v>
      </c>
      <c r="N56" s="241">
        <f t="shared" si="7"/>
        <v>395.67000000000007</v>
      </c>
      <c r="O56" s="241">
        <f t="shared" si="7"/>
        <v>359.11000000000007</v>
      </c>
      <c r="P56" s="241">
        <f t="shared" si="7"/>
        <v>431.14000000000004</v>
      </c>
      <c r="Q56" s="241">
        <f t="shared" si="7"/>
        <v>435.69000000000005</v>
      </c>
      <c r="R56" s="241">
        <f t="shared" si="7"/>
        <v>405.53999999999996</v>
      </c>
      <c r="S56" s="241">
        <f t="shared" si="7"/>
        <v>3.54</v>
      </c>
      <c r="T56" s="241">
        <f t="shared" si="7"/>
        <v>411.84</v>
      </c>
      <c r="U56" s="241">
        <f t="shared" si="7"/>
        <v>417.84</v>
      </c>
      <c r="V56" s="241">
        <f t="shared" si="7"/>
        <v>405.44</v>
      </c>
      <c r="W56" s="241">
        <f t="shared" si="7"/>
        <v>373.74</v>
      </c>
      <c r="X56" s="241">
        <f t="shared" si="7"/>
        <v>367.74</v>
      </c>
      <c r="Y56" s="241">
        <f t="shared" si="7"/>
        <v>423.64</v>
      </c>
      <c r="Z56" s="241">
        <f t="shared" si="7"/>
        <v>423.64</v>
      </c>
      <c r="AA56" s="241">
        <f t="shared" si="7"/>
        <v>423.64</v>
      </c>
      <c r="AB56" s="241">
        <f t="shared" si="7"/>
        <v>423.64</v>
      </c>
      <c r="AC56" s="241">
        <f t="shared" si="7"/>
        <v>423.64</v>
      </c>
      <c r="AD56" s="241">
        <f t="shared" si="7"/>
        <v>423.64</v>
      </c>
      <c r="AE56" s="241">
        <f t="shared" si="7"/>
        <v>308.83999999999997</v>
      </c>
      <c r="AF56" s="241">
        <f t="shared" si="7"/>
        <v>279.84000000000003</v>
      </c>
      <c r="AG56" s="242">
        <f t="shared" si="7"/>
        <v>489.91</v>
      </c>
      <c r="AH56" s="226">
        <f t="shared" si="2"/>
        <v>435.69000000000005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>
        <v>0</v>
      </c>
      <c r="F57" s="221">
        <v>0</v>
      </c>
      <c r="G57" s="221">
        <v>0</v>
      </c>
      <c r="H57" s="221">
        <v>0</v>
      </c>
      <c r="I57" s="221">
        <v>0</v>
      </c>
      <c r="J57" s="221">
        <v>0</v>
      </c>
      <c r="K57" s="221">
        <v>0</v>
      </c>
      <c r="L57" s="221">
        <v>0</v>
      </c>
      <c r="M57" s="221">
        <v>0</v>
      </c>
      <c r="N57" s="221">
        <v>0</v>
      </c>
      <c r="O57" s="221">
        <v>0</v>
      </c>
      <c r="P57" s="221">
        <v>0</v>
      </c>
      <c r="Q57" s="221">
        <v>0</v>
      </c>
      <c r="R57" s="221">
        <v>0</v>
      </c>
      <c r="S57" s="221"/>
      <c r="T57" s="221">
        <v>0</v>
      </c>
      <c r="U57" s="221">
        <v>0</v>
      </c>
      <c r="V57" s="221">
        <v>0</v>
      </c>
      <c r="W57" s="221">
        <v>0</v>
      </c>
      <c r="X57" s="221">
        <v>0</v>
      </c>
      <c r="Y57" s="221">
        <v>10</v>
      </c>
      <c r="Z57" s="221">
        <v>0</v>
      </c>
      <c r="AA57" s="221">
        <v>0</v>
      </c>
      <c r="AB57" s="221">
        <v>0</v>
      </c>
      <c r="AC57" s="221">
        <v>0</v>
      </c>
      <c r="AD57" s="221">
        <v>0</v>
      </c>
      <c r="AE57" s="221">
        <v>0</v>
      </c>
      <c r="AF57" s="221">
        <v>0</v>
      </c>
      <c r="AG57" s="230">
        <v>60</v>
      </c>
      <c r="AH57" s="226">
        <f t="shared" si="2"/>
        <v>10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  <c r="P58" s="245">
        <v>0</v>
      </c>
      <c r="Q58" s="245">
        <v>0</v>
      </c>
      <c r="R58" s="245">
        <v>0</v>
      </c>
      <c r="S58" s="245"/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0</v>
      </c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>
        <v>0</v>
      </c>
      <c r="F59" s="247">
        <v>0</v>
      </c>
      <c r="G59" s="247">
        <v>0</v>
      </c>
      <c r="H59" s="247">
        <v>0</v>
      </c>
      <c r="I59" s="247">
        <v>0</v>
      </c>
      <c r="J59" s="247">
        <v>0</v>
      </c>
      <c r="K59" s="247">
        <v>0</v>
      </c>
      <c r="L59" s="247">
        <v>0</v>
      </c>
      <c r="M59" s="247">
        <v>0</v>
      </c>
      <c r="N59" s="247">
        <v>0</v>
      </c>
      <c r="O59" s="247">
        <v>0</v>
      </c>
      <c r="P59" s="247">
        <v>0</v>
      </c>
      <c r="Q59" s="247">
        <v>0</v>
      </c>
      <c r="R59" s="247">
        <v>0</v>
      </c>
      <c r="S59" s="247"/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8">SUM(C57:C59)</f>
        <v>0</v>
      </c>
      <c r="D60" s="241">
        <f t="shared" si="8"/>
        <v>0</v>
      </c>
      <c r="E60" s="241">
        <f t="shared" si="8"/>
        <v>0</v>
      </c>
      <c r="F60" s="241">
        <f t="shared" si="8"/>
        <v>0</v>
      </c>
      <c r="G60" s="241">
        <f t="shared" si="8"/>
        <v>0</v>
      </c>
      <c r="H60" s="241">
        <f t="shared" si="8"/>
        <v>0</v>
      </c>
      <c r="I60" s="241">
        <f t="shared" si="8"/>
        <v>0</v>
      </c>
      <c r="J60" s="241">
        <f t="shared" si="8"/>
        <v>0</v>
      </c>
      <c r="K60" s="241">
        <f t="shared" si="8"/>
        <v>0</v>
      </c>
      <c r="L60" s="241">
        <f t="shared" si="8"/>
        <v>0</v>
      </c>
      <c r="M60" s="241">
        <f t="shared" si="8"/>
        <v>0</v>
      </c>
      <c r="N60" s="241">
        <f t="shared" si="8"/>
        <v>0</v>
      </c>
      <c r="O60" s="241">
        <f t="shared" si="8"/>
        <v>0</v>
      </c>
      <c r="P60" s="241">
        <f t="shared" si="8"/>
        <v>0</v>
      </c>
      <c r="Q60" s="241">
        <f t="shared" si="8"/>
        <v>0</v>
      </c>
      <c r="R60" s="241">
        <f t="shared" si="8"/>
        <v>0</v>
      </c>
      <c r="S60" s="241">
        <f t="shared" si="8"/>
        <v>0</v>
      </c>
      <c r="T60" s="241">
        <f t="shared" si="8"/>
        <v>0</v>
      </c>
      <c r="U60" s="241">
        <f t="shared" si="8"/>
        <v>0</v>
      </c>
      <c r="V60" s="241">
        <f t="shared" si="8"/>
        <v>0</v>
      </c>
      <c r="W60" s="241">
        <f t="shared" si="8"/>
        <v>0</v>
      </c>
      <c r="X60" s="241">
        <f t="shared" si="8"/>
        <v>0</v>
      </c>
      <c r="Y60" s="241">
        <f t="shared" si="8"/>
        <v>10</v>
      </c>
      <c r="Z60" s="241">
        <f t="shared" si="8"/>
        <v>0</v>
      </c>
      <c r="AA60" s="241">
        <f t="shared" si="8"/>
        <v>0</v>
      </c>
      <c r="AB60" s="241">
        <f t="shared" si="8"/>
        <v>0</v>
      </c>
      <c r="AC60" s="241">
        <f t="shared" si="8"/>
        <v>0</v>
      </c>
      <c r="AD60" s="241">
        <f t="shared" si="8"/>
        <v>0</v>
      </c>
      <c r="AE60" s="241">
        <f t="shared" si="8"/>
        <v>0</v>
      </c>
      <c r="AF60" s="241">
        <f t="shared" si="8"/>
        <v>0</v>
      </c>
      <c r="AG60" s="242">
        <f t="shared" si="8"/>
        <v>106</v>
      </c>
      <c r="AH60" s="226">
        <f t="shared" si="2"/>
        <v>10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1">
        <v>0</v>
      </c>
      <c r="M61" s="221">
        <v>0</v>
      </c>
      <c r="N61" s="221">
        <v>0</v>
      </c>
      <c r="O61" s="221">
        <v>0</v>
      </c>
      <c r="P61" s="221">
        <v>0</v>
      </c>
      <c r="Q61" s="221">
        <v>0</v>
      </c>
      <c r="R61" s="221">
        <v>0</v>
      </c>
      <c r="S61" s="221"/>
      <c r="T61" s="221">
        <v>0</v>
      </c>
      <c r="U61" s="221">
        <v>0</v>
      </c>
      <c r="V61" s="221">
        <v>0</v>
      </c>
      <c r="W61" s="221">
        <v>0</v>
      </c>
      <c r="X61" s="221">
        <v>0</v>
      </c>
      <c r="Y61" s="221">
        <v>0</v>
      </c>
      <c r="Z61" s="221">
        <v>0</v>
      </c>
      <c r="AA61" s="221">
        <v>0</v>
      </c>
      <c r="AB61" s="221">
        <v>0</v>
      </c>
      <c r="AC61" s="221">
        <v>0</v>
      </c>
      <c r="AD61" s="221">
        <v>0</v>
      </c>
      <c r="AE61" s="221">
        <v>0</v>
      </c>
      <c r="AF61" s="221">
        <v>0</v>
      </c>
      <c r="AG61" s="230"/>
      <c r="AH61" s="226">
        <f t="shared" si="2"/>
        <v>0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>
        <v>0</v>
      </c>
      <c r="F62" s="245">
        <v>0</v>
      </c>
      <c r="G62" s="245">
        <v>0</v>
      </c>
      <c r="H62" s="245">
        <v>0</v>
      </c>
      <c r="I62" s="245">
        <v>0</v>
      </c>
      <c r="J62" s="245">
        <v>0</v>
      </c>
      <c r="K62" s="245">
        <v>0</v>
      </c>
      <c r="L62" s="245">
        <v>0</v>
      </c>
      <c r="M62" s="245">
        <v>0</v>
      </c>
      <c r="N62" s="245">
        <v>0</v>
      </c>
      <c r="O62" s="245">
        <v>0</v>
      </c>
      <c r="P62" s="245">
        <v>0</v>
      </c>
      <c r="Q62" s="245">
        <v>0</v>
      </c>
      <c r="R62" s="245">
        <v>0</v>
      </c>
      <c r="S62" s="245"/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0</v>
      </c>
      <c r="AA62" s="245">
        <v>0</v>
      </c>
      <c r="AB62" s="245">
        <v>0</v>
      </c>
      <c r="AC62" s="245">
        <v>0</v>
      </c>
      <c r="AD62" s="245">
        <v>0</v>
      </c>
      <c r="AE62" s="245">
        <v>0</v>
      </c>
      <c r="AF62" s="245">
        <v>0</v>
      </c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-460</v>
      </c>
      <c r="C63" s="245">
        <v>-451</v>
      </c>
      <c r="D63" s="245">
        <v>-487</v>
      </c>
      <c r="E63" s="245">
        <v>-460</v>
      </c>
      <c r="F63" s="245">
        <v>-430</v>
      </c>
      <c r="G63" s="245">
        <v>-445</v>
      </c>
      <c r="H63" s="245">
        <v>-454</v>
      </c>
      <c r="I63" s="245">
        <v>-456</v>
      </c>
      <c r="J63" s="245">
        <v>-410</v>
      </c>
      <c r="K63" s="245">
        <v>-422.6</v>
      </c>
      <c r="L63" s="245">
        <v>-382</v>
      </c>
      <c r="M63" s="245">
        <v>-385.6</v>
      </c>
      <c r="N63" s="245">
        <v>-422</v>
      </c>
      <c r="O63" s="245">
        <v>-369</v>
      </c>
      <c r="P63" s="245">
        <v>-363.9</v>
      </c>
      <c r="Q63" s="245">
        <f>-377.7</f>
        <v>-377.7</v>
      </c>
      <c r="R63" s="245">
        <v>-415.6</v>
      </c>
      <c r="S63" s="245"/>
      <c r="T63" s="245">
        <v>-410</v>
      </c>
      <c r="U63" s="245">
        <v>-425</v>
      </c>
      <c r="V63" s="245">
        <v>-403</v>
      </c>
      <c r="W63" s="245">
        <v>-387</v>
      </c>
      <c r="X63" s="245">
        <v>-403</v>
      </c>
      <c r="Y63" s="245">
        <v>-327</v>
      </c>
      <c r="Z63" s="245">
        <v>-302</v>
      </c>
      <c r="AA63" s="245">
        <v>-330</v>
      </c>
      <c r="AB63" s="245">
        <v>-428</v>
      </c>
      <c r="AC63" s="245">
        <v>-410</v>
      </c>
      <c r="AD63" s="245">
        <v>-420</v>
      </c>
      <c r="AE63" s="245">
        <v>-450</v>
      </c>
      <c r="AF63" s="245">
        <v>-400</v>
      </c>
      <c r="AG63" s="255"/>
      <c r="AH63" s="226">
        <f t="shared" si="2"/>
        <v>-302</v>
      </c>
      <c r="AI63" s="227">
        <f t="shared" si="3"/>
        <v>-487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>
        <v>0</v>
      </c>
      <c r="F64" s="256">
        <v>0</v>
      </c>
      <c r="G64" s="256">
        <v>0</v>
      </c>
      <c r="H64" s="256">
        <v>0</v>
      </c>
      <c r="I64" s="256">
        <v>0</v>
      </c>
      <c r="J64" s="256">
        <v>0</v>
      </c>
      <c r="K64" s="256">
        <v>0</v>
      </c>
      <c r="L64" s="256">
        <v>0</v>
      </c>
      <c r="M64" s="256">
        <v>0</v>
      </c>
      <c r="N64" s="256">
        <v>0</v>
      </c>
      <c r="O64" s="256">
        <v>0</v>
      </c>
      <c r="P64" s="256">
        <v>0</v>
      </c>
      <c r="Q64" s="256">
        <v>0</v>
      </c>
      <c r="R64" s="256">
        <v>0</v>
      </c>
      <c r="S64" s="256"/>
      <c r="T64" s="256">
        <v>0</v>
      </c>
      <c r="U64" s="256">
        <v>0</v>
      </c>
      <c r="V64" s="256">
        <v>0</v>
      </c>
      <c r="W64" s="256">
        <v>0</v>
      </c>
      <c r="X64" s="256">
        <v>0</v>
      </c>
      <c r="Y64" s="256">
        <v>0</v>
      </c>
      <c r="Z64" s="256">
        <v>0</v>
      </c>
      <c r="AA64" s="256">
        <v>0</v>
      </c>
      <c r="AB64" s="256">
        <v>0</v>
      </c>
      <c r="AC64" s="256">
        <v>0</v>
      </c>
      <c r="AD64" s="256">
        <v>0</v>
      </c>
      <c r="AE64" s="256">
        <v>0</v>
      </c>
      <c r="AF64" s="256">
        <v>0</v>
      </c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>
        <v>0</v>
      </c>
      <c r="F65" s="221">
        <v>0</v>
      </c>
      <c r="G65" s="221">
        <v>0</v>
      </c>
      <c r="H65" s="221">
        <v>0</v>
      </c>
      <c r="I65" s="221">
        <v>0</v>
      </c>
      <c r="J65" s="221">
        <v>0</v>
      </c>
      <c r="K65" s="221">
        <v>0</v>
      </c>
      <c r="L65" s="221">
        <v>0</v>
      </c>
      <c r="M65" s="221">
        <v>0</v>
      </c>
      <c r="N65" s="221">
        <v>0</v>
      </c>
      <c r="O65" s="221">
        <v>0</v>
      </c>
      <c r="P65" s="221">
        <v>0</v>
      </c>
      <c r="Q65" s="221">
        <v>0</v>
      </c>
      <c r="R65" s="221">
        <v>0</v>
      </c>
      <c r="S65" s="221"/>
      <c r="T65" s="221">
        <v>0</v>
      </c>
      <c r="U65" s="221">
        <v>0</v>
      </c>
      <c r="V65" s="221">
        <v>0</v>
      </c>
      <c r="W65" s="221">
        <v>0</v>
      </c>
      <c r="X65" s="221">
        <v>0</v>
      </c>
      <c r="Y65" s="221">
        <v>0</v>
      </c>
      <c r="Z65" s="221">
        <v>0</v>
      </c>
      <c r="AA65" s="221">
        <v>0</v>
      </c>
      <c r="AB65" s="221">
        <v>0</v>
      </c>
      <c r="AC65" s="221">
        <v>0</v>
      </c>
      <c r="AD65" s="221">
        <v>0</v>
      </c>
      <c r="AE65" s="221">
        <v>0</v>
      </c>
      <c r="AF65" s="221">
        <v>0</v>
      </c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>
        <v>0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  <c r="R66" s="257">
        <v>0</v>
      </c>
      <c r="S66" s="257"/>
      <c r="T66" s="257">
        <v>0</v>
      </c>
      <c r="U66" s="257">
        <v>0</v>
      </c>
      <c r="V66" s="257">
        <v>0</v>
      </c>
      <c r="W66" s="257">
        <v>0</v>
      </c>
      <c r="X66" s="257">
        <v>0</v>
      </c>
      <c r="Y66" s="257">
        <v>0</v>
      </c>
      <c r="Z66" s="257">
        <v>0</v>
      </c>
      <c r="AA66" s="257">
        <v>0</v>
      </c>
      <c r="AB66" s="257">
        <v>0</v>
      </c>
      <c r="AC66" s="257">
        <v>0</v>
      </c>
      <c r="AD66" s="257">
        <v>0</v>
      </c>
      <c r="AE66" s="257">
        <v>0</v>
      </c>
      <c r="AF66" s="257">
        <v>0</v>
      </c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>
        <v>0</v>
      </c>
      <c r="F67" s="257">
        <v>0</v>
      </c>
      <c r="G67" s="257">
        <v>0</v>
      </c>
      <c r="H67" s="257">
        <v>0</v>
      </c>
      <c r="I67" s="257">
        <v>0</v>
      </c>
      <c r="J67" s="257">
        <v>0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0</v>
      </c>
      <c r="Q67" s="257">
        <v>0</v>
      </c>
      <c r="R67" s="257">
        <v>0</v>
      </c>
      <c r="S67" s="257"/>
      <c r="T67" s="257">
        <v>0</v>
      </c>
      <c r="U67" s="257">
        <v>0</v>
      </c>
      <c r="V67" s="257">
        <v>0</v>
      </c>
      <c r="W67" s="257">
        <v>0</v>
      </c>
      <c r="X67" s="257">
        <v>0</v>
      </c>
      <c r="Y67" s="257">
        <v>0</v>
      </c>
      <c r="Z67" s="257">
        <v>0</v>
      </c>
      <c r="AA67" s="257">
        <v>0</v>
      </c>
      <c r="AB67" s="257">
        <v>0</v>
      </c>
      <c r="AC67" s="257">
        <v>0</v>
      </c>
      <c r="AD67" s="257">
        <v>0</v>
      </c>
      <c r="AE67" s="257">
        <v>0</v>
      </c>
      <c r="AF67" s="257">
        <v>0</v>
      </c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>
        <v>0</v>
      </c>
      <c r="F68" s="256">
        <v>0</v>
      </c>
      <c r="G68" s="256">
        <v>0</v>
      </c>
      <c r="H68" s="256">
        <v>0</v>
      </c>
      <c r="I68" s="256">
        <v>0</v>
      </c>
      <c r="J68" s="256">
        <v>0</v>
      </c>
      <c r="K68" s="256">
        <v>0</v>
      </c>
      <c r="L68" s="256">
        <v>0</v>
      </c>
      <c r="M68" s="256">
        <v>0</v>
      </c>
      <c r="N68" s="256">
        <v>0</v>
      </c>
      <c r="O68" s="256">
        <v>0</v>
      </c>
      <c r="P68" s="256">
        <v>0</v>
      </c>
      <c r="Q68" s="256">
        <v>0</v>
      </c>
      <c r="R68" s="256">
        <v>0</v>
      </c>
      <c r="S68" s="256"/>
      <c r="T68" s="256">
        <v>0</v>
      </c>
      <c r="U68" s="256">
        <v>0</v>
      </c>
      <c r="V68" s="256">
        <v>0</v>
      </c>
      <c r="W68" s="256">
        <v>0</v>
      </c>
      <c r="X68" s="256">
        <v>0</v>
      </c>
      <c r="Y68" s="256">
        <v>0</v>
      </c>
      <c r="Z68" s="256">
        <v>0</v>
      </c>
      <c r="AA68" s="256">
        <v>0</v>
      </c>
      <c r="AB68" s="256">
        <v>0</v>
      </c>
      <c r="AC68" s="256">
        <v>0</v>
      </c>
      <c r="AD68" s="256">
        <v>0</v>
      </c>
      <c r="AE68" s="256">
        <v>0</v>
      </c>
      <c r="AF68" s="256">
        <v>0</v>
      </c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>
        <v>0</v>
      </c>
      <c r="F69" s="256">
        <v>0</v>
      </c>
      <c r="G69" s="256">
        <v>0</v>
      </c>
      <c r="H69" s="256">
        <v>0</v>
      </c>
      <c r="I69" s="256">
        <v>0</v>
      </c>
      <c r="J69" s="256">
        <v>0</v>
      </c>
      <c r="K69" s="256">
        <v>0</v>
      </c>
      <c r="L69" s="256">
        <v>0</v>
      </c>
      <c r="M69" s="256">
        <v>0</v>
      </c>
      <c r="N69" s="256">
        <v>0</v>
      </c>
      <c r="O69" s="256">
        <v>0</v>
      </c>
      <c r="P69" s="256">
        <v>0</v>
      </c>
      <c r="Q69" s="256">
        <v>0</v>
      </c>
      <c r="R69" s="256">
        <v>0</v>
      </c>
      <c r="S69" s="256"/>
      <c r="T69" s="256">
        <v>0</v>
      </c>
      <c r="U69" s="256">
        <v>0</v>
      </c>
      <c r="V69" s="256">
        <v>0</v>
      </c>
      <c r="W69" s="256">
        <v>0</v>
      </c>
      <c r="X69" s="256">
        <v>0</v>
      </c>
      <c r="Y69" s="256">
        <v>0</v>
      </c>
      <c r="Z69" s="256">
        <v>0</v>
      </c>
      <c r="AA69" s="256">
        <v>0</v>
      </c>
      <c r="AB69" s="256">
        <v>0</v>
      </c>
      <c r="AC69" s="256">
        <v>0</v>
      </c>
      <c r="AD69" s="256">
        <v>0</v>
      </c>
      <c r="AE69" s="256">
        <v>0</v>
      </c>
      <c r="AF69" s="256">
        <v>0</v>
      </c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/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/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0</v>
      </c>
      <c r="AC71" s="259">
        <v>0</v>
      </c>
      <c r="AD71" s="259">
        <v>0</v>
      </c>
      <c r="AE71" s="259">
        <v>0</v>
      </c>
      <c r="AF71" s="259">
        <v>0</v>
      </c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9">SUMIF(C61:C71,"&gt;0")</f>
        <v>0</v>
      </c>
      <c r="D72" s="241">
        <f t="shared" si="9"/>
        <v>0</v>
      </c>
      <c r="E72" s="241">
        <f t="shared" si="9"/>
        <v>0</v>
      </c>
      <c r="F72" s="241">
        <f t="shared" si="9"/>
        <v>0</v>
      </c>
      <c r="G72" s="241">
        <f t="shared" si="9"/>
        <v>0</v>
      </c>
      <c r="H72" s="241">
        <f t="shared" si="9"/>
        <v>0</v>
      </c>
      <c r="I72" s="241">
        <f t="shared" si="9"/>
        <v>0</v>
      </c>
      <c r="J72" s="241">
        <f t="shared" si="9"/>
        <v>0</v>
      </c>
      <c r="K72" s="241">
        <f t="shared" si="9"/>
        <v>0</v>
      </c>
      <c r="L72" s="241">
        <f t="shared" si="9"/>
        <v>0</v>
      </c>
      <c r="M72" s="241">
        <f>SUMIF(M61:M71,"&gt;0")</f>
        <v>0</v>
      </c>
      <c r="N72" s="241">
        <f t="shared" ref="N72:AF72" si="10">SUMIF(N61:N71,"&gt;0")</f>
        <v>0</v>
      </c>
      <c r="O72" s="241">
        <f t="shared" si="10"/>
        <v>0</v>
      </c>
      <c r="P72" s="241">
        <f t="shared" si="10"/>
        <v>0</v>
      </c>
      <c r="Q72" s="241">
        <f t="shared" si="10"/>
        <v>0</v>
      </c>
      <c r="R72" s="241">
        <f t="shared" si="10"/>
        <v>0</v>
      </c>
      <c r="S72" s="241">
        <f t="shared" si="10"/>
        <v>0</v>
      </c>
      <c r="T72" s="241">
        <f t="shared" si="10"/>
        <v>0</v>
      </c>
      <c r="U72" s="241">
        <f t="shared" si="10"/>
        <v>0</v>
      </c>
      <c r="V72" s="241">
        <f t="shared" si="10"/>
        <v>0</v>
      </c>
      <c r="W72" s="241">
        <f t="shared" si="10"/>
        <v>0</v>
      </c>
      <c r="X72" s="241">
        <f t="shared" si="10"/>
        <v>0</v>
      </c>
      <c r="Y72" s="241">
        <f t="shared" si="10"/>
        <v>0</v>
      </c>
      <c r="Z72" s="241">
        <f t="shared" si="10"/>
        <v>0</v>
      </c>
      <c r="AA72" s="241">
        <f t="shared" si="10"/>
        <v>0</v>
      </c>
      <c r="AB72" s="241">
        <f t="shared" si="10"/>
        <v>0</v>
      </c>
      <c r="AC72" s="241">
        <f t="shared" si="10"/>
        <v>0</v>
      </c>
      <c r="AD72" s="241">
        <f t="shared" si="10"/>
        <v>0</v>
      </c>
      <c r="AE72" s="241">
        <f t="shared" si="10"/>
        <v>0</v>
      </c>
      <c r="AF72" s="241">
        <f t="shared" si="10"/>
        <v>0</v>
      </c>
      <c r="AG72" s="261">
        <f>SUM(AG61:AG71)</f>
        <v>0</v>
      </c>
      <c r="AH72" s="226">
        <f t="shared" si="2"/>
        <v>0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>
        <v>0</v>
      </c>
      <c r="N73" s="256">
        <v>0</v>
      </c>
      <c r="O73" s="256">
        <v>0</v>
      </c>
      <c r="P73" s="256">
        <v>0</v>
      </c>
      <c r="Q73" s="256">
        <v>0</v>
      </c>
      <c r="R73" s="256">
        <v>0</v>
      </c>
      <c r="S73" s="256"/>
      <c r="T73" s="256">
        <v>0</v>
      </c>
      <c r="U73" s="256">
        <v>0</v>
      </c>
      <c r="V73" s="256">
        <v>0</v>
      </c>
      <c r="W73" s="256">
        <v>0</v>
      </c>
      <c r="X73" s="256">
        <v>0</v>
      </c>
      <c r="Y73" s="256">
        <v>0</v>
      </c>
      <c r="Z73" s="256">
        <v>0</v>
      </c>
      <c r="AA73" s="256">
        <v>0</v>
      </c>
      <c r="AB73" s="256">
        <v>0</v>
      </c>
      <c r="AC73" s="256">
        <v>0</v>
      </c>
      <c r="AD73" s="256">
        <v>0</v>
      </c>
      <c r="AE73" s="256"/>
      <c r="AF73" s="256">
        <v>0</v>
      </c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>
        <v>0</v>
      </c>
      <c r="N74" s="257">
        <v>0</v>
      </c>
      <c r="O74" s="257">
        <v>0</v>
      </c>
      <c r="P74" s="257">
        <v>0</v>
      </c>
      <c r="Q74" s="257">
        <v>0</v>
      </c>
      <c r="R74" s="257">
        <v>0</v>
      </c>
      <c r="S74" s="257"/>
      <c r="T74" s="257">
        <v>0</v>
      </c>
      <c r="U74" s="257">
        <v>0</v>
      </c>
      <c r="V74" s="257">
        <v>0</v>
      </c>
      <c r="W74" s="257">
        <v>0</v>
      </c>
      <c r="X74" s="257">
        <v>0</v>
      </c>
      <c r="Y74" s="257">
        <v>0</v>
      </c>
      <c r="Z74" s="257">
        <v>0</v>
      </c>
      <c r="AA74" s="257">
        <v>0</v>
      </c>
      <c r="AB74" s="257">
        <v>0</v>
      </c>
      <c r="AC74" s="257">
        <v>0</v>
      </c>
      <c r="AD74" s="257">
        <v>0</v>
      </c>
      <c r="AE74" s="257"/>
      <c r="AF74" s="257">
        <v>0</v>
      </c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/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/>
      <c r="AF75" s="259">
        <v>0</v>
      </c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1644.04</v>
      </c>
      <c r="C77" s="263">
        <f t="shared" ref="C77:AF77" si="11">C38+C42+C60+C56+C72+C76</f>
        <v>1630.8400000000001</v>
      </c>
      <c r="D77" s="263">
        <f t="shared" si="11"/>
        <v>1630.8400000000001</v>
      </c>
      <c r="E77" s="263">
        <f t="shared" si="11"/>
        <v>1609.64</v>
      </c>
      <c r="F77" s="263">
        <f t="shared" si="11"/>
        <v>1576.74</v>
      </c>
      <c r="G77" s="263">
        <f t="shared" si="11"/>
        <v>1576.74</v>
      </c>
      <c r="H77" s="263">
        <f t="shared" si="11"/>
        <v>1577.14</v>
      </c>
      <c r="I77" s="263">
        <f t="shared" si="11"/>
        <v>1567.74</v>
      </c>
      <c r="J77" s="263">
        <f t="shared" si="11"/>
        <v>1567.74</v>
      </c>
      <c r="K77" s="263">
        <f t="shared" si="11"/>
        <v>1582.29</v>
      </c>
      <c r="L77" s="263">
        <f t="shared" si="11"/>
        <v>1655.23</v>
      </c>
      <c r="M77" s="263">
        <f t="shared" si="11"/>
        <v>1702.3400000000001</v>
      </c>
      <c r="N77" s="263">
        <f t="shared" si="11"/>
        <v>1701.8700000000001</v>
      </c>
      <c r="O77" s="263">
        <f t="shared" si="11"/>
        <v>1569.6100000000001</v>
      </c>
      <c r="P77" s="263">
        <f t="shared" si="11"/>
        <v>1641.64</v>
      </c>
      <c r="Q77" s="263">
        <f t="shared" si="11"/>
        <v>1641.99</v>
      </c>
      <c r="R77" s="263">
        <f t="shared" si="11"/>
        <v>1659.54</v>
      </c>
      <c r="S77" s="263" t="e">
        <f t="shared" si="11"/>
        <v>#VALUE!</v>
      </c>
      <c r="T77" s="263">
        <f t="shared" si="11"/>
        <v>1657.6399999999999</v>
      </c>
      <c r="U77" s="263">
        <f t="shared" si="11"/>
        <v>1699.6399999999999</v>
      </c>
      <c r="V77" s="263">
        <f t="shared" si="11"/>
        <v>1687.24</v>
      </c>
      <c r="W77" s="263">
        <f t="shared" si="11"/>
        <v>1655.54</v>
      </c>
      <c r="X77" s="263">
        <f t="shared" si="11"/>
        <v>1647.54</v>
      </c>
      <c r="Y77" s="263">
        <f t="shared" si="11"/>
        <v>1741.44</v>
      </c>
      <c r="Z77" s="263">
        <f t="shared" si="11"/>
        <v>1745.44</v>
      </c>
      <c r="AA77" s="263">
        <f t="shared" si="11"/>
        <v>1739.44</v>
      </c>
      <c r="AB77" s="263">
        <f t="shared" si="11"/>
        <v>1740.44</v>
      </c>
      <c r="AC77" s="263">
        <f t="shared" si="11"/>
        <v>1740.44</v>
      </c>
      <c r="AD77" s="263">
        <f t="shared" si="11"/>
        <v>1727.44</v>
      </c>
      <c r="AE77" s="263">
        <f t="shared" si="11"/>
        <v>1602.6399999999999</v>
      </c>
      <c r="AF77" s="263">
        <f t="shared" si="11"/>
        <v>1432.6399999999999</v>
      </c>
      <c r="AG77" s="242">
        <f>AG38+AG42+AG60+AG56+AG72+AG76</f>
        <v>1855.1900000000003</v>
      </c>
      <c r="AH77" s="226" t="e">
        <f t="shared" si="2"/>
        <v>#VALUE!</v>
      </c>
      <c r="AI77" s="227" t="e">
        <f t="shared" si="3"/>
        <v>#VALUE!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1644.04</v>
      </c>
      <c r="C79" s="263">
        <f t="shared" ref="C79:AF79" si="12">C77+C78</f>
        <v>1630.8400000000001</v>
      </c>
      <c r="D79" s="263">
        <f t="shared" si="12"/>
        <v>1630.8400000000001</v>
      </c>
      <c r="E79" s="263">
        <f t="shared" si="12"/>
        <v>1609.64</v>
      </c>
      <c r="F79" s="263">
        <f t="shared" si="12"/>
        <v>1576.74</v>
      </c>
      <c r="G79" s="263">
        <f t="shared" si="12"/>
        <v>1576.74</v>
      </c>
      <c r="H79" s="263">
        <f t="shared" si="12"/>
        <v>1577.14</v>
      </c>
      <c r="I79" s="263">
        <f t="shared" si="12"/>
        <v>1567.74</v>
      </c>
      <c r="J79" s="263">
        <f t="shared" si="12"/>
        <v>1567.74</v>
      </c>
      <c r="K79" s="263">
        <f t="shared" si="12"/>
        <v>1582.29</v>
      </c>
      <c r="L79" s="263">
        <f t="shared" si="12"/>
        <v>1655.23</v>
      </c>
      <c r="M79" s="263">
        <f t="shared" si="12"/>
        <v>1702.3400000000001</v>
      </c>
      <c r="N79" s="263">
        <f t="shared" si="12"/>
        <v>1701.8700000000001</v>
      </c>
      <c r="O79" s="263">
        <f t="shared" si="12"/>
        <v>1569.6100000000001</v>
      </c>
      <c r="P79" s="263">
        <f t="shared" si="12"/>
        <v>1641.64</v>
      </c>
      <c r="Q79" s="263">
        <f t="shared" si="12"/>
        <v>1641.99</v>
      </c>
      <c r="R79" s="263">
        <f t="shared" si="12"/>
        <v>1659.54</v>
      </c>
      <c r="S79" s="263" t="e">
        <f t="shared" si="12"/>
        <v>#VALUE!</v>
      </c>
      <c r="T79" s="263">
        <f t="shared" si="12"/>
        <v>1657.6399999999999</v>
      </c>
      <c r="U79" s="263">
        <f t="shared" si="12"/>
        <v>1699.6399999999999</v>
      </c>
      <c r="V79" s="263">
        <f t="shared" si="12"/>
        <v>1687.24</v>
      </c>
      <c r="W79" s="263">
        <f t="shared" si="12"/>
        <v>1655.54</v>
      </c>
      <c r="X79" s="263">
        <f t="shared" si="12"/>
        <v>1647.54</v>
      </c>
      <c r="Y79" s="263">
        <f t="shared" si="12"/>
        <v>1741.44</v>
      </c>
      <c r="Z79" s="263">
        <f t="shared" si="12"/>
        <v>1745.44</v>
      </c>
      <c r="AA79" s="263">
        <f t="shared" si="12"/>
        <v>1739.44</v>
      </c>
      <c r="AB79" s="263">
        <f t="shared" si="12"/>
        <v>1740.44</v>
      </c>
      <c r="AC79" s="263">
        <f t="shared" si="12"/>
        <v>1740.44</v>
      </c>
      <c r="AD79" s="263">
        <f t="shared" si="12"/>
        <v>1727.44</v>
      </c>
      <c r="AE79" s="263">
        <f t="shared" si="12"/>
        <v>1602.6399999999999</v>
      </c>
      <c r="AF79" s="263">
        <f t="shared" si="12"/>
        <v>1432.6399999999999</v>
      </c>
      <c r="AG79" s="261">
        <f>AG76+AG72+AG60+AG56+AG38+AG78</f>
        <v>1317.0900000000001</v>
      </c>
      <c r="AH79" s="226" t="e">
        <f t="shared" si="2"/>
        <v>#VALUE!</v>
      </c>
      <c r="AI79" s="227" t="e">
        <f t="shared" si="3"/>
        <v>#VALUE!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3">B79-B87</f>
        <v>1184.04</v>
      </c>
      <c r="C80" s="263">
        <f t="shared" si="13"/>
        <v>1179.8400000000001</v>
      </c>
      <c r="D80" s="263">
        <f t="shared" si="13"/>
        <v>1143.8400000000001</v>
      </c>
      <c r="E80" s="263">
        <f t="shared" si="13"/>
        <v>1149.6400000000001</v>
      </c>
      <c r="F80" s="263">
        <f t="shared" si="13"/>
        <v>1146.74</v>
      </c>
      <c r="G80" s="263">
        <f t="shared" si="13"/>
        <v>1131.74</v>
      </c>
      <c r="H80" s="263">
        <f t="shared" si="13"/>
        <v>1123.1400000000001</v>
      </c>
      <c r="I80" s="263">
        <f t="shared" si="13"/>
        <v>1111.74</v>
      </c>
      <c r="J80" s="263">
        <f t="shared" si="13"/>
        <v>1157.74</v>
      </c>
      <c r="K80" s="263">
        <f t="shared" si="13"/>
        <v>1159.69</v>
      </c>
      <c r="L80" s="263">
        <f t="shared" si="13"/>
        <v>1273.23</v>
      </c>
      <c r="M80" s="263">
        <f t="shared" si="13"/>
        <v>1316.7400000000002</v>
      </c>
      <c r="N80" s="263">
        <f t="shared" si="13"/>
        <v>1279.8700000000001</v>
      </c>
      <c r="O80" s="263">
        <f t="shared" si="13"/>
        <v>1200.6100000000001</v>
      </c>
      <c r="P80" s="263">
        <f t="shared" si="13"/>
        <v>1277.7400000000002</v>
      </c>
      <c r="Q80" s="263">
        <f t="shared" si="13"/>
        <v>1264.29</v>
      </c>
      <c r="R80" s="263">
        <f t="shared" si="13"/>
        <v>1243.94</v>
      </c>
      <c r="S80" s="263" t="e">
        <f t="shared" si="13"/>
        <v>#VALUE!</v>
      </c>
      <c r="T80" s="263">
        <f t="shared" si="13"/>
        <v>1247.6399999999999</v>
      </c>
      <c r="U80" s="263">
        <f t="shared" si="13"/>
        <v>1274.6399999999999</v>
      </c>
      <c r="V80" s="263">
        <f t="shared" si="13"/>
        <v>1284.24</v>
      </c>
      <c r="W80" s="263">
        <f t="shared" si="13"/>
        <v>1268.54</v>
      </c>
      <c r="X80" s="263">
        <f t="shared" si="13"/>
        <v>1244.54</v>
      </c>
      <c r="Y80" s="263">
        <f t="shared" si="13"/>
        <v>1414.44</v>
      </c>
      <c r="Z80" s="263">
        <f t="shared" si="13"/>
        <v>1443.44</v>
      </c>
      <c r="AA80" s="263">
        <f t="shared" si="13"/>
        <v>1409.44</v>
      </c>
      <c r="AB80" s="263">
        <f t="shared" si="13"/>
        <v>1312.44</v>
      </c>
      <c r="AC80" s="263">
        <f t="shared" si="13"/>
        <v>1330.44</v>
      </c>
      <c r="AD80" s="263">
        <f t="shared" si="13"/>
        <v>1307.44</v>
      </c>
      <c r="AE80" s="263">
        <f t="shared" si="13"/>
        <v>1152.6399999999999</v>
      </c>
      <c r="AF80" s="263">
        <f t="shared" si="13"/>
        <v>1032.6399999999999</v>
      </c>
      <c r="AG80" s="261"/>
      <c r="AH80" s="226" t="e">
        <f t="shared" ref="AH80:AH97" si="14">MAX(B80:AF80)</f>
        <v>#VALUE!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5">IF(C64&lt;0,C64*-1,0)</f>
        <v>0</v>
      </c>
      <c r="D81" s="256">
        <f t="shared" si="15"/>
        <v>0</v>
      </c>
      <c r="E81" s="256">
        <f t="shared" si="15"/>
        <v>0</v>
      </c>
      <c r="F81" s="256">
        <f t="shared" si="15"/>
        <v>0</v>
      </c>
      <c r="G81" s="256">
        <f t="shared" si="15"/>
        <v>0</v>
      </c>
      <c r="H81" s="256">
        <f t="shared" si="15"/>
        <v>0</v>
      </c>
      <c r="I81" s="256">
        <f t="shared" si="15"/>
        <v>0</v>
      </c>
      <c r="J81" s="256">
        <f t="shared" si="15"/>
        <v>0</v>
      </c>
      <c r="K81" s="256">
        <f t="shared" si="15"/>
        <v>0</v>
      </c>
      <c r="L81" s="256">
        <f t="shared" si="15"/>
        <v>0</v>
      </c>
      <c r="M81" s="256">
        <f t="shared" si="15"/>
        <v>0</v>
      </c>
      <c r="N81" s="256">
        <f t="shared" si="15"/>
        <v>0</v>
      </c>
      <c r="O81" s="256">
        <f t="shared" si="15"/>
        <v>0</v>
      </c>
      <c r="P81" s="256">
        <f t="shared" si="15"/>
        <v>0</v>
      </c>
      <c r="Q81" s="256">
        <f t="shared" si="15"/>
        <v>0</v>
      </c>
      <c r="R81" s="256">
        <f t="shared" si="15"/>
        <v>0</v>
      </c>
      <c r="S81" s="256">
        <f t="shared" si="15"/>
        <v>0</v>
      </c>
      <c r="T81" s="256">
        <f t="shared" si="15"/>
        <v>0</v>
      </c>
      <c r="U81" s="256">
        <f t="shared" si="15"/>
        <v>0</v>
      </c>
      <c r="V81" s="256">
        <f t="shared" si="15"/>
        <v>0</v>
      </c>
      <c r="W81" s="256">
        <f t="shared" si="15"/>
        <v>0</v>
      </c>
      <c r="X81" s="256">
        <f t="shared" si="15"/>
        <v>0</v>
      </c>
      <c r="Y81" s="256">
        <f t="shared" si="15"/>
        <v>0</v>
      </c>
      <c r="Z81" s="256">
        <f t="shared" si="15"/>
        <v>0</v>
      </c>
      <c r="AA81" s="256">
        <f t="shared" si="15"/>
        <v>0</v>
      </c>
      <c r="AB81" s="256">
        <f t="shared" si="15"/>
        <v>0</v>
      </c>
      <c r="AC81" s="256">
        <f t="shared" si="15"/>
        <v>0</v>
      </c>
      <c r="AD81" s="256">
        <f t="shared" si="15"/>
        <v>0</v>
      </c>
      <c r="AE81" s="256">
        <f t="shared" si="15"/>
        <v>0</v>
      </c>
      <c r="AF81" s="256">
        <f t="shared" si="15"/>
        <v>0</v>
      </c>
      <c r="AG81" s="230"/>
      <c r="AH81" s="226">
        <f t="shared" si="14"/>
        <v>0</v>
      </c>
      <c r="AI81" s="227">
        <f t="shared" ref="AI81:AI97" si="16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7">IF(C62&lt;0,C62*-1,0)</f>
        <v>0</v>
      </c>
      <c r="D82" s="256">
        <f t="shared" si="17"/>
        <v>0</v>
      </c>
      <c r="E82" s="256">
        <f t="shared" si="17"/>
        <v>0</v>
      </c>
      <c r="F82" s="256">
        <f t="shared" si="17"/>
        <v>0</v>
      </c>
      <c r="G82" s="256">
        <f t="shared" si="17"/>
        <v>0</v>
      </c>
      <c r="H82" s="256">
        <f t="shared" si="17"/>
        <v>0</v>
      </c>
      <c r="I82" s="256">
        <f t="shared" si="17"/>
        <v>0</v>
      </c>
      <c r="J82" s="256">
        <f t="shared" si="17"/>
        <v>0</v>
      </c>
      <c r="K82" s="256">
        <f t="shared" si="17"/>
        <v>0</v>
      </c>
      <c r="L82" s="256">
        <f t="shared" si="17"/>
        <v>0</v>
      </c>
      <c r="M82" s="256">
        <f t="shared" si="17"/>
        <v>0</v>
      </c>
      <c r="N82" s="256">
        <f t="shared" si="17"/>
        <v>0</v>
      </c>
      <c r="O82" s="256">
        <f t="shared" si="17"/>
        <v>0</v>
      </c>
      <c r="P82" s="256">
        <f t="shared" si="17"/>
        <v>0</v>
      </c>
      <c r="Q82" s="256">
        <f t="shared" si="17"/>
        <v>0</v>
      </c>
      <c r="R82" s="256">
        <f t="shared" si="17"/>
        <v>0</v>
      </c>
      <c r="S82" s="256">
        <f t="shared" si="17"/>
        <v>0</v>
      </c>
      <c r="T82" s="256">
        <f t="shared" si="17"/>
        <v>0</v>
      </c>
      <c r="U82" s="256">
        <f t="shared" si="17"/>
        <v>0</v>
      </c>
      <c r="V82" s="256">
        <f t="shared" si="17"/>
        <v>0</v>
      </c>
      <c r="W82" s="256">
        <f t="shared" si="17"/>
        <v>0</v>
      </c>
      <c r="X82" s="256">
        <f t="shared" si="17"/>
        <v>0</v>
      </c>
      <c r="Y82" s="256">
        <f t="shared" si="17"/>
        <v>0</v>
      </c>
      <c r="Z82" s="256">
        <f t="shared" si="17"/>
        <v>0</v>
      </c>
      <c r="AA82" s="256">
        <f t="shared" si="17"/>
        <v>0</v>
      </c>
      <c r="AB82" s="256">
        <f t="shared" si="17"/>
        <v>0</v>
      </c>
      <c r="AC82" s="256">
        <f t="shared" si="17"/>
        <v>0</v>
      </c>
      <c r="AD82" s="256">
        <f t="shared" si="17"/>
        <v>0</v>
      </c>
      <c r="AE82" s="256">
        <f t="shared" si="17"/>
        <v>0</v>
      </c>
      <c r="AF82" s="256">
        <f t="shared" si="17"/>
        <v>0</v>
      </c>
      <c r="AG82" s="235"/>
      <c r="AH82" s="226">
        <f t="shared" si="14"/>
        <v>0</v>
      </c>
      <c r="AI82" s="227">
        <f t="shared" si="16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8">IF(C65&lt;0,C65*-1,0)</f>
        <v>0</v>
      </c>
      <c r="D83" s="256">
        <f t="shared" si="18"/>
        <v>0</v>
      </c>
      <c r="E83" s="256">
        <f t="shared" si="18"/>
        <v>0</v>
      </c>
      <c r="F83" s="256">
        <f t="shared" si="18"/>
        <v>0</v>
      </c>
      <c r="G83" s="256">
        <f t="shared" si="18"/>
        <v>0</v>
      </c>
      <c r="H83" s="256">
        <f t="shared" si="18"/>
        <v>0</v>
      </c>
      <c r="I83" s="256">
        <f t="shared" si="18"/>
        <v>0</v>
      </c>
      <c r="J83" s="256">
        <f t="shared" si="18"/>
        <v>0</v>
      </c>
      <c r="K83" s="256">
        <f t="shared" si="18"/>
        <v>0</v>
      </c>
      <c r="L83" s="256">
        <f t="shared" si="18"/>
        <v>0</v>
      </c>
      <c r="M83" s="256">
        <f t="shared" si="18"/>
        <v>0</v>
      </c>
      <c r="N83" s="256">
        <f t="shared" si="18"/>
        <v>0</v>
      </c>
      <c r="O83" s="256">
        <f t="shared" si="18"/>
        <v>0</v>
      </c>
      <c r="P83" s="256">
        <f t="shared" si="18"/>
        <v>0</v>
      </c>
      <c r="Q83" s="256">
        <f t="shared" si="18"/>
        <v>0</v>
      </c>
      <c r="R83" s="256">
        <f t="shared" si="18"/>
        <v>0</v>
      </c>
      <c r="S83" s="256">
        <f t="shared" si="18"/>
        <v>0</v>
      </c>
      <c r="T83" s="256">
        <f t="shared" si="18"/>
        <v>0</v>
      </c>
      <c r="U83" s="256">
        <f t="shared" si="18"/>
        <v>0</v>
      </c>
      <c r="V83" s="256">
        <f t="shared" si="18"/>
        <v>0</v>
      </c>
      <c r="W83" s="256">
        <f t="shared" si="18"/>
        <v>0</v>
      </c>
      <c r="X83" s="256">
        <f t="shared" si="18"/>
        <v>0</v>
      </c>
      <c r="Y83" s="256">
        <f t="shared" si="18"/>
        <v>0</v>
      </c>
      <c r="Z83" s="256">
        <f t="shared" si="18"/>
        <v>0</v>
      </c>
      <c r="AA83" s="256">
        <f t="shared" si="18"/>
        <v>0</v>
      </c>
      <c r="AB83" s="256">
        <f t="shared" si="18"/>
        <v>0</v>
      </c>
      <c r="AC83" s="256">
        <f t="shared" si="18"/>
        <v>0</v>
      </c>
      <c r="AD83" s="256">
        <f t="shared" si="18"/>
        <v>0</v>
      </c>
      <c r="AE83" s="256">
        <f t="shared" si="18"/>
        <v>0</v>
      </c>
      <c r="AF83" s="256">
        <f t="shared" si="18"/>
        <v>0</v>
      </c>
      <c r="AG83" s="266"/>
      <c r="AH83" s="226">
        <f t="shared" si="14"/>
        <v>0</v>
      </c>
      <c r="AI83" s="227">
        <f t="shared" si="16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460</v>
      </c>
      <c r="C84" s="256">
        <f t="shared" ref="C84:AF84" si="19">IF(C63&lt;0,C63*-1,0)</f>
        <v>451</v>
      </c>
      <c r="D84" s="256">
        <f t="shared" si="19"/>
        <v>487</v>
      </c>
      <c r="E84" s="256">
        <f t="shared" si="19"/>
        <v>460</v>
      </c>
      <c r="F84" s="256">
        <f t="shared" si="19"/>
        <v>430</v>
      </c>
      <c r="G84" s="256">
        <f t="shared" si="19"/>
        <v>445</v>
      </c>
      <c r="H84" s="256">
        <f t="shared" si="19"/>
        <v>454</v>
      </c>
      <c r="I84" s="256">
        <f t="shared" si="19"/>
        <v>456</v>
      </c>
      <c r="J84" s="256">
        <f t="shared" si="19"/>
        <v>410</v>
      </c>
      <c r="K84" s="256">
        <f t="shared" si="19"/>
        <v>422.6</v>
      </c>
      <c r="L84" s="256">
        <f t="shared" si="19"/>
        <v>382</v>
      </c>
      <c r="M84" s="256">
        <f t="shared" si="19"/>
        <v>385.6</v>
      </c>
      <c r="N84" s="256">
        <f t="shared" si="19"/>
        <v>422</v>
      </c>
      <c r="O84" s="256">
        <f t="shared" si="19"/>
        <v>369</v>
      </c>
      <c r="P84" s="256">
        <f t="shared" si="19"/>
        <v>363.9</v>
      </c>
      <c r="Q84" s="256">
        <f t="shared" si="19"/>
        <v>377.7</v>
      </c>
      <c r="R84" s="256">
        <f t="shared" si="19"/>
        <v>415.6</v>
      </c>
      <c r="S84" s="256">
        <f t="shared" si="19"/>
        <v>0</v>
      </c>
      <c r="T84" s="256">
        <f t="shared" si="19"/>
        <v>410</v>
      </c>
      <c r="U84" s="256">
        <f t="shared" si="19"/>
        <v>425</v>
      </c>
      <c r="V84" s="256">
        <f t="shared" si="19"/>
        <v>403</v>
      </c>
      <c r="W84" s="256">
        <f t="shared" si="19"/>
        <v>387</v>
      </c>
      <c r="X84" s="256">
        <f t="shared" si="19"/>
        <v>403</v>
      </c>
      <c r="Y84" s="256">
        <f t="shared" si="19"/>
        <v>327</v>
      </c>
      <c r="Z84" s="256">
        <f t="shared" si="19"/>
        <v>302</v>
      </c>
      <c r="AA84" s="256">
        <f t="shared" si="19"/>
        <v>330</v>
      </c>
      <c r="AB84" s="256">
        <f t="shared" si="19"/>
        <v>428</v>
      </c>
      <c r="AC84" s="256">
        <f t="shared" si="19"/>
        <v>410</v>
      </c>
      <c r="AD84" s="256">
        <f t="shared" si="19"/>
        <v>420</v>
      </c>
      <c r="AE84" s="256">
        <f t="shared" si="19"/>
        <v>450</v>
      </c>
      <c r="AF84" s="256">
        <f t="shared" si="19"/>
        <v>400</v>
      </c>
      <c r="AG84" s="266"/>
      <c r="AH84" s="226">
        <f t="shared" si="14"/>
        <v>487</v>
      </c>
      <c r="AI84" s="227">
        <f t="shared" si="16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20">IF(C61&lt;0,C61*-1,0)</f>
        <v>0</v>
      </c>
      <c r="D85" s="256">
        <f t="shared" si="20"/>
        <v>0</v>
      </c>
      <c r="E85" s="256">
        <f t="shared" si="20"/>
        <v>0</v>
      </c>
      <c r="F85" s="256">
        <f t="shared" si="20"/>
        <v>0</v>
      </c>
      <c r="G85" s="256">
        <f t="shared" si="20"/>
        <v>0</v>
      </c>
      <c r="H85" s="256">
        <f t="shared" si="20"/>
        <v>0</v>
      </c>
      <c r="I85" s="256">
        <f t="shared" si="20"/>
        <v>0</v>
      </c>
      <c r="J85" s="256">
        <f t="shared" si="20"/>
        <v>0</v>
      </c>
      <c r="K85" s="256">
        <f t="shared" si="20"/>
        <v>0</v>
      </c>
      <c r="L85" s="256">
        <f t="shared" si="20"/>
        <v>0</v>
      </c>
      <c r="M85" s="256">
        <f t="shared" si="20"/>
        <v>0</v>
      </c>
      <c r="N85" s="256">
        <f t="shared" si="20"/>
        <v>0</v>
      </c>
      <c r="O85" s="256">
        <f t="shared" si="20"/>
        <v>0</v>
      </c>
      <c r="P85" s="256">
        <f t="shared" si="20"/>
        <v>0</v>
      </c>
      <c r="Q85" s="256">
        <f t="shared" si="20"/>
        <v>0</v>
      </c>
      <c r="R85" s="256">
        <f t="shared" si="20"/>
        <v>0</v>
      </c>
      <c r="S85" s="256">
        <f t="shared" si="20"/>
        <v>0</v>
      </c>
      <c r="T85" s="256">
        <f t="shared" si="20"/>
        <v>0</v>
      </c>
      <c r="U85" s="256">
        <f t="shared" si="20"/>
        <v>0</v>
      </c>
      <c r="V85" s="256">
        <f t="shared" si="20"/>
        <v>0</v>
      </c>
      <c r="W85" s="256">
        <f t="shared" si="20"/>
        <v>0</v>
      </c>
      <c r="X85" s="256">
        <f t="shared" si="20"/>
        <v>0</v>
      </c>
      <c r="Y85" s="256">
        <f t="shared" si="20"/>
        <v>0</v>
      </c>
      <c r="Z85" s="256">
        <f t="shared" si="20"/>
        <v>0</v>
      </c>
      <c r="AA85" s="256">
        <f t="shared" si="20"/>
        <v>0</v>
      </c>
      <c r="AB85" s="256">
        <f t="shared" si="20"/>
        <v>0</v>
      </c>
      <c r="AC85" s="256">
        <f t="shared" si="20"/>
        <v>0</v>
      </c>
      <c r="AD85" s="256">
        <f t="shared" si="20"/>
        <v>0</v>
      </c>
      <c r="AE85" s="256">
        <f t="shared" si="20"/>
        <v>0</v>
      </c>
      <c r="AF85" s="256">
        <f t="shared" si="20"/>
        <v>0</v>
      </c>
      <c r="AG85" s="266"/>
      <c r="AH85" s="226">
        <f t="shared" si="14"/>
        <v>0</v>
      </c>
      <c r="AI85" s="227">
        <f t="shared" si="16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4"/>
        <v>0</v>
      </c>
      <c r="AI86" s="227">
        <f t="shared" si="16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460</v>
      </c>
      <c r="C87" s="241">
        <f t="shared" ref="C87:AF87" si="21">SUM(C81:C86)</f>
        <v>451</v>
      </c>
      <c r="D87" s="241">
        <f t="shared" si="21"/>
        <v>487</v>
      </c>
      <c r="E87" s="241">
        <f t="shared" si="21"/>
        <v>460</v>
      </c>
      <c r="F87" s="241">
        <f t="shared" si="21"/>
        <v>430</v>
      </c>
      <c r="G87" s="241">
        <f t="shared" si="21"/>
        <v>445</v>
      </c>
      <c r="H87" s="241">
        <f t="shared" si="21"/>
        <v>454</v>
      </c>
      <c r="I87" s="241">
        <f t="shared" si="21"/>
        <v>456</v>
      </c>
      <c r="J87" s="241">
        <f t="shared" si="21"/>
        <v>410</v>
      </c>
      <c r="K87" s="241">
        <f t="shared" si="21"/>
        <v>422.6</v>
      </c>
      <c r="L87" s="241">
        <f t="shared" si="21"/>
        <v>382</v>
      </c>
      <c r="M87" s="241">
        <f t="shared" si="21"/>
        <v>385.6</v>
      </c>
      <c r="N87" s="241">
        <f t="shared" si="21"/>
        <v>422</v>
      </c>
      <c r="O87" s="241">
        <f t="shared" si="21"/>
        <v>369</v>
      </c>
      <c r="P87" s="241">
        <f t="shared" si="21"/>
        <v>363.9</v>
      </c>
      <c r="Q87" s="241">
        <f t="shared" si="21"/>
        <v>377.7</v>
      </c>
      <c r="R87" s="241">
        <f t="shared" si="21"/>
        <v>415.6</v>
      </c>
      <c r="S87" s="241">
        <f t="shared" si="21"/>
        <v>0</v>
      </c>
      <c r="T87" s="241">
        <f t="shared" si="21"/>
        <v>410</v>
      </c>
      <c r="U87" s="241">
        <f t="shared" si="21"/>
        <v>425</v>
      </c>
      <c r="V87" s="241">
        <f t="shared" si="21"/>
        <v>403</v>
      </c>
      <c r="W87" s="241">
        <f t="shared" si="21"/>
        <v>387</v>
      </c>
      <c r="X87" s="241">
        <f t="shared" si="21"/>
        <v>403</v>
      </c>
      <c r="Y87" s="241">
        <f t="shared" si="21"/>
        <v>327</v>
      </c>
      <c r="Z87" s="241">
        <f t="shared" si="21"/>
        <v>302</v>
      </c>
      <c r="AA87" s="241">
        <f t="shared" si="21"/>
        <v>330</v>
      </c>
      <c r="AB87" s="241">
        <f t="shared" si="21"/>
        <v>428</v>
      </c>
      <c r="AC87" s="241">
        <f t="shared" si="21"/>
        <v>410</v>
      </c>
      <c r="AD87" s="241">
        <f t="shared" si="21"/>
        <v>420</v>
      </c>
      <c r="AE87" s="241">
        <f t="shared" si="21"/>
        <v>450</v>
      </c>
      <c r="AF87" s="241">
        <f t="shared" si="21"/>
        <v>400</v>
      </c>
      <c r="AG87" s="261"/>
      <c r="AH87" s="226">
        <f t="shared" si="14"/>
        <v>487</v>
      </c>
      <c r="AI87" s="227">
        <f t="shared" si="16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-460</v>
      </c>
      <c r="C88" s="241">
        <f t="shared" ref="C88:AF88" si="22">C72-C87</f>
        <v>-451</v>
      </c>
      <c r="D88" s="241">
        <f t="shared" si="22"/>
        <v>-487</v>
      </c>
      <c r="E88" s="241">
        <f t="shared" si="22"/>
        <v>-460</v>
      </c>
      <c r="F88" s="241">
        <f t="shared" si="22"/>
        <v>-430</v>
      </c>
      <c r="G88" s="241">
        <f t="shared" si="22"/>
        <v>-445</v>
      </c>
      <c r="H88" s="241">
        <f t="shared" si="22"/>
        <v>-454</v>
      </c>
      <c r="I88" s="241">
        <f t="shared" si="22"/>
        <v>-456</v>
      </c>
      <c r="J88" s="241">
        <f t="shared" si="22"/>
        <v>-410</v>
      </c>
      <c r="K88" s="241">
        <f t="shared" si="22"/>
        <v>-422.6</v>
      </c>
      <c r="L88" s="241">
        <f t="shared" si="22"/>
        <v>-382</v>
      </c>
      <c r="M88" s="241">
        <f t="shared" si="22"/>
        <v>-385.6</v>
      </c>
      <c r="N88" s="241">
        <f t="shared" si="22"/>
        <v>-422</v>
      </c>
      <c r="O88" s="241">
        <f t="shared" si="22"/>
        <v>-369</v>
      </c>
      <c r="P88" s="241">
        <f t="shared" si="22"/>
        <v>-363.9</v>
      </c>
      <c r="Q88" s="241">
        <f t="shared" si="22"/>
        <v>-377.7</v>
      </c>
      <c r="R88" s="241">
        <f t="shared" si="22"/>
        <v>-415.6</v>
      </c>
      <c r="S88" s="241">
        <f t="shared" si="22"/>
        <v>0</v>
      </c>
      <c r="T88" s="241">
        <f t="shared" si="22"/>
        <v>-410</v>
      </c>
      <c r="U88" s="241">
        <f t="shared" si="22"/>
        <v>-425</v>
      </c>
      <c r="V88" s="241">
        <f t="shared" si="22"/>
        <v>-403</v>
      </c>
      <c r="W88" s="241">
        <f t="shared" si="22"/>
        <v>-387</v>
      </c>
      <c r="X88" s="241">
        <f t="shared" si="22"/>
        <v>-403</v>
      </c>
      <c r="Y88" s="241">
        <f t="shared" si="22"/>
        <v>-327</v>
      </c>
      <c r="Z88" s="241">
        <f t="shared" si="22"/>
        <v>-302</v>
      </c>
      <c r="AA88" s="241">
        <f t="shared" si="22"/>
        <v>-330</v>
      </c>
      <c r="AB88" s="241">
        <f t="shared" si="22"/>
        <v>-428</v>
      </c>
      <c r="AC88" s="241">
        <f t="shared" si="22"/>
        <v>-410</v>
      </c>
      <c r="AD88" s="241">
        <f t="shared" si="22"/>
        <v>-420</v>
      </c>
      <c r="AE88" s="241">
        <f t="shared" si="22"/>
        <v>-450</v>
      </c>
      <c r="AF88" s="241">
        <f t="shared" si="22"/>
        <v>-400</v>
      </c>
      <c r="AG88" s="261"/>
      <c r="AH88" s="226">
        <f t="shared" si="14"/>
        <v>0</v>
      </c>
      <c r="AI88" s="227">
        <f t="shared" si="16"/>
        <v>-487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49.993000000000002</v>
      </c>
      <c r="C89" s="269">
        <v>50.051000000000002</v>
      </c>
      <c r="D89" s="269">
        <v>50.051000000000002</v>
      </c>
      <c r="E89" s="269">
        <v>49.988</v>
      </c>
      <c r="F89" s="269">
        <v>50.009</v>
      </c>
      <c r="G89" s="269">
        <v>50.051000000000002</v>
      </c>
      <c r="H89" s="269">
        <v>49.984000000000002</v>
      </c>
      <c r="I89" s="269">
        <v>50.027000000000001</v>
      </c>
      <c r="J89" s="269">
        <v>50.058999999999997</v>
      </c>
      <c r="K89" s="269">
        <v>49.968000000000004</v>
      </c>
      <c r="L89" s="269">
        <v>49.968000000000004</v>
      </c>
      <c r="M89" s="269">
        <v>50.042000000000002</v>
      </c>
      <c r="N89" s="269">
        <v>50.046999999999997</v>
      </c>
      <c r="O89" s="269">
        <v>50.031999999999996</v>
      </c>
      <c r="P89" s="269">
        <v>50.005000000000003</v>
      </c>
      <c r="Q89" s="269">
        <v>50.04</v>
      </c>
      <c r="R89" s="269">
        <v>50.003999999999998</v>
      </c>
      <c r="S89" s="269"/>
      <c r="T89" s="269">
        <v>49.96</v>
      </c>
      <c r="U89" s="269">
        <v>50.003999999999998</v>
      </c>
      <c r="V89" s="269">
        <v>50.04</v>
      </c>
      <c r="W89" s="269">
        <v>50.045999999999999</v>
      </c>
      <c r="X89" s="269">
        <v>49.91</v>
      </c>
      <c r="Y89" s="269">
        <v>49.786999999999999</v>
      </c>
      <c r="Z89" s="269">
        <v>49.91</v>
      </c>
      <c r="AA89" s="269">
        <v>49.786999999999999</v>
      </c>
      <c r="AB89" s="269">
        <v>49.786999999999999</v>
      </c>
      <c r="AC89" s="269"/>
      <c r="AD89" s="269">
        <v>50.03</v>
      </c>
      <c r="AE89" s="269">
        <v>50.04</v>
      </c>
      <c r="AF89" s="269"/>
      <c r="AG89" s="270"/>
      <c r="AH89" s="226">
        <f t="shared" si="14"/>
        <v>50.058999999999997</v>
      </c>
      <c r="AI89" s="227">
        <f t="shared" si="16"/>
        <v>49.786999999999999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126.3</v>
      </c>
      <c r="C90" s="245">
        <v>126.1</v>
      </c>
      <c r="D90" s="245">
        <v>126.1</v>
      </c>
      <c r="E90" s="245">
        <v>126.9</v>
      </c>
      <c r="F90" s="245">
        <v>126</v>
      </c>
      <c r="G90" s="245">
        <v>126.2</v>
      </c>
      <c r="H90" s="245">
        <v>125.8</v>
      </c>
      <c r="I90" s="245">
        <v>126</v>
      </c>
      <c r="J90" s="245">
        <v>126.3</v>
      </c>
      <c r="K90" s="245">
        <v>125.3</v>
      </c>
      <c r="L90" s="245">
        <v>125.3</v>
      </c>
      <c r="M90" s="245">
        <v>123.8</v>
      </c>
      <c r="N90" s="245">
        <v>123.8</v>
      </c>
      <c r="O90" s="245">
        <v>123.9</v>
      </c>
      <c r="P90" s="245">
        <v>123.7</v>
      </c>
      <c r="Q90" s="245">
        <v>122.8</v>
      </c>
      <c r="R90" s="245">
        <v>122</v>
      </c>
      <c r="S90" s="245"/>
      <c r="T90" s="245">
        <v>124</v>
      </c>
      <c r="U90" s="245">
        <v>122</v>
      </c>
      <c r="V90" s="245">
        <v>122.8</v>
      </c>
      <c r="W90" s="245">
        <v>124.2</v>
      </c>
      <c r="X90" s="245">
        <v>124</v>
      </c>
      <c r="Y90" s="245">
        <v>123.2</v>
      </c>
      <c r="Z90" s="245">
        <v>124</v>
      </c>
      <c r="AA90" s="245">
        <v>123.2</v>
      </c>
      <c r="AB90" s="245">
        <v>123.2</v>
      </c>
      <c r="AC90" s="245">
        <v>123.2</v>
      </c>
      <c r="AD90" s="245">
        <v>123.2</v>
      </c>
      <c r="AE90" s="245">
        <v>126</v>
      </c>
      <c r="AF90" s="245"/>
      <c r="AG90" s="272"/>
      <c r="AH90" s="226">
        <f t="shared" si="14"/>
        <v>126.9</v>
      </c>
      <c r="AI90" s="227">
        <f t="shared" si="16"/>
        <v>122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130.69999999999999</v>
      </c>
      <c r="C91" s="245">
        <v>130.5</v>
      </c>
      <c r="D91" s="245">
        <v>130.5</v>
      </c>
      <c r="E91" s="245">
        <v>131.19999999999999</v>
      </c>
      <c r="F91" s="245">
        <v>130.19999999999999</v>
      </c>
      <c r="G91" s="245">
        <v>130.30000000000001</v>
      </c>
      <c r="H91" s="245">
        <v>129.9</v>
      </c>
      <c r="I91" s="245">
        <v>130</v>
      </c>
      <c r="J91" s="245">
        <v>129.6</v>
      </c>
      <c r="K91" s="245">
        <v>128</v>
      </c>
      <c r="L91" s="245">
        <v>128</v>
      </c>
      <c r="M91" s="245">
        <v>127.5</v>
      </c>
      <c r="N91" s="245">
        <v>127.5</v>
      </c>
      <c r="O91" s="245">
        <v>127.6</v>
      </c>
      <c r="P91" s="245">
        <v>127.6</v>
      </c>
      <c r="Q91" s="245">
        <v>126.8</v>
      </c>
      <c r="R91" s="245">
        <v>126.2</v>
      </c>
      <c r="S91" s="245"/>
      <c r="T91" s="245">
        <v>127</v>
      </c>
      <c r="U91" s="245">
        <v>126.2</v>
      </c>
      <c r="V91" s="245">
        <v>126.8</v>
      </c>
      <c r="W91" s="245">
        <v>127.8</v>
      </c>
      <c r="X91" s="245">
        <v>128</v>
      </c>
      <c r="Y91" s="245">
        <v>127</v>
      </c>
      <c r="Z91" s="245">
        <v>128</v>
      </c>
      <c r="AA91" s="245">
        <v>127</v>
      </c>
      <c r="AB91" s="245">
        <v>127</v>
      </c>
      <c r="AC91" s="245">
        <v>127</v>
      </c>
      <c r="AD91" s="245">
        <v>127</v>
      </c>
      <c r="AE91" s="245">
        <v>130</v>
      </c>
      <c r="AF91" s="245"/>
      <c r="AG91" s="272"/>
      <c r="AH91" s="226">
        <f t="shared" si="14"/>
        <v>131.19999999999999</v>
      </c>
      <c r="AI91" s="227">
        <f t="shared" si="16"/>
        <v>126.2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130.19999999999999</v>
      </c>
      <c r="C92" s="245">
        <v>129</v>
      </c>
      <c r="D92" s="245">
        <v>129</v>
      </c>
      <c r="E92" s="245">
        <v>131.9</v>
      </c>
      <c r="F92" s="245">
        <v>129.5</v>
      </c>
      <c r="G92" s="245">
        <v>129.30000000000001</v>
      </c>
      <c r="H92" s="245">
        <v>129</v>
      </c>
      <c r="I92" s="245">
        <v>128.30000000000001</v>
      </c>
      <c r="J92" s="245">
        <v>128.1</v>
      </c>
      <c r="K92" s="245">
        <v>126.9</v>
      </c>
      <c r="L92" s="245">
        <v>126.9</v>
      </c>
      <c r="M92" s="245">
        <v>128.1</v>
      </c>
      <c r="N92" s="245">
        <v>128.1</v>
      </c>
      <c r="O92" s="245">
        <v>128.4</v>
      </c>
      <c r="P92" s="245">
        <v>128.30000000000001</v>
      </c>
      <c r="Q92" s="245">
        <v>129.19999999999999</v>
      </c>
      <c r="R92" s="245">
        <v>129.69999999999999</v>
      </c>
      <c r="S92" s="245"/>
      <c r="T92" s="245">
        <v>127</v>
      </c>
      <c r="U92" s="245">
        <v>129.69999999999999</v>
      </c>
      <c r="V92" s="245">
        <v>129.19999999999999</v>
      </c>
      <c r="W92" s="245">
        <v>130.1</v>
      </c>
      <c r="X92" s="245">
        <v>130</v>
      </c>
      <c r="Y92" s="245">
        <v>127.1</v>
      </c>
      <c r="Z92" s="245">
        <v>130</v>
      </c>
      <c r="AA92" s="245">
        <v>127.1</v>
      </c>
      <c r="AB92" s="245">
        <v>127.1</v>
      </c>
      <c r="AC92" s="245">
        <v>127.1</v>
      </c>
      <c r="AD92" s="245">
        <v>127.1</v>
      </c>
      <c r="AE92" s="245">
        <v>130</v>
      </c>
      <c r="AF92" s="245"/>
      <c r="AG92" s="272"/>
      <c r="AH92" s="226">
        <f t="shared" si="14"/>
        <v>131.9</v>
      </c>
      <c r="AI92" s="227">
        <f t="shared" si="16"/>
        <v>126.9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133.4</v>
      </c>
      <c r="C93" s="245">
        <v>131</v>
      </c>
      <c r="D93" s="245">
        <v>131</v>
      </c>
      <c r="E93" s="245">
        <v>133.80000000000001</v>
      </c>
      <c r="F93" s="245">
        <v>131.9</v>
      </c>
      <c r="G93" s="245">
        <v>131.5</v>
      </c>
      <c r="H93" s="245">
        <v>131.30000000000001</v>
      </c>
      <c r="I93" s="245">
        <v>131.1</v>
      </c>
      <c r="J93" s="245">
        <v>130.30000000000001</v>
      </c>
      <c r="K93" s="245">
        <v>130.30000000000001</v>
      </c>
      <c r="L93" s="245">
        <v>130.30000000000001</v>
      </c>
      <c r="M93" s="245">
        <v>131.9</v>
      </c>
      <c r="N93" s="245">
        <v>131.9</v>
      </c>
      <c r="O93" s="245">
        <v>131.9</v>
      </c>
      <c r="P93" s="245">
        <v>131.30000000000001</v>
      </c>
      <c r="Q93" s="245">
        <v>131.9</v>
      </c>
      <c r="R93" s="245">
        <v>133</v>
      </c>
      <c r="S93" s="245"/>
      <c r="T93" s="245">
        <v>131</v>
      </c>
      <c r="U93" s="245">
        <v>133</v>
      </c>
      <c r="V93" s="245">
        <v>131.9</v>
      </c>
      <c r="W93" s="245">
        <v>133.4</v>
      </c>
      <c r="X93" s="245">
        <v>133</v>
      </c>
      <c r="Y93" s="245">
        <v>130.1</v>
      </c>
      <c r="Z93" s="245">
        <v>133</v>
      </c>
      <c r="AA93" s="245">
        <v>130.1</v>
      </c>
      <c r="AB93" s="245">
        <v>130.1</v>
      </c>
      <c r="AC93" s="245">
        <v>130.1</v>
      </c>
      <c r="AD93" s="245">
        <v>130.1</v>
      </c>
      <c r="AE93" s="245">
        <v>132</v>
      </c>
      <c r="AF93" s="245"/>
      <c r="AG93" s="272"/>
      <c r="AH93" s="226">
        <f t="shared" si="14"/>
        <v>133.80000000000001</v>
      </c>
      <c r="AI93" s="227">
        <f t="shared" si="16"/>
        <v>130.1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131</v>
      </c>
      <c r="C94" s="274">
        <v>133.1</v>
      </c>
      <c r="D94" s="274">
        <v>133.1</v>
      </c>
      <c r="E94" s="274">
        <v>133.69999999999999</v>
      </c>
      <c r="F94" s="274">
        <v>132.1</v>
      </c>
      <c r="G94" s="274">
        <v>133.6</v>
      </c>
      <c r="H94" s="274">
        <v>134</v>
      </c>
      <c r="I94" s="274">
        <v>134.30000000000001</v>
      </c>
      <c r="J94" s="274">
        <v>133.1</v>
      </c>
      <c r="K94" s="274">
        <v>133.69999999999999</v>
      </c>
      <c r="L94" s="274">
        <v>133.69999999999999</v>
      </c>
      <c r="M94" s="274">
        <v>132.4</v>
      </c>
      <c r="N94" s="274">
        <v>132.4</v>
      </c>
      <c r="O94" s="274">
        <v>132.80000000000001</v>
      </c>
      <c r="P94" s="274">
        <v>132</v>
      </c>
      <c r="Q94" s="274">
        <v>134.4</v>
      </c>
      <c r="R94" s="274">
        <v>131.4</v>
      </c>
      <c r="S94" s="274"/>
      <c r="T94" s="274">
        <v>132</v>
      </c>
      <c r="U94" s="274">
        <v>131.4</v>
      </c>
      <c r="V94" s="274">
        <v>134.4</v>
      </c>
      <c r="W94" s="274">
        <v>133.5</v>
      </c>
      <c r="X94" s="274">
        <v>132</v>
      </c>
      <c r="Y94" s="274">
        <v>131.1</v>
      </c>
      <c r="Z94" s="274">
        <v>132</v>
      </c>
      <c r="AA94" s="274">
        <v>131.1</v>
      </c>
      <c r="AB94" s="274">
        <v>131.1</v>
      </c>
      <c r="AC94" s="274">
        <v>131.1</v>
      </c>
      <c r="AD94" s="274">
        <v>131.1</v>
      </c>
      <c r="AE94" s="274">
        <v>132</v>
      </c>
      <c r="AF94" s="274"/>
      <c r="AG94" s="275"/>
      <c r="AH94" s="226">
        <f t="shared" si="14"/>
        <v>134.4</v>
      </c>
      <c r="AI94" s="227">
        <f t="shared" si="16"/>
        <v>131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133.1</v>
      </c>
      <c r="C95" s="245">
        <v>133.1</v>
      </c>
      <c r="D95" s="245">
        <v>133.1</v>
      </c>
      <c r="E95" s="245">
        <v>134</v>
      </c>
      <c r="F95" s="245">
        <v>132.6</v>
      </c>
      <c r="G95" s="245">
        <v>135.69999999999999</v>
      </c>
      <c r="H95" s="245">
        <v>136.5</v>
      </c>
      <c r="I95" s="245">
        <v>136.69999999999999</v>
      </c>
      <c r="J95" s="245">
        <v>134.4</v>
      </c>
      <c r="K95" s="245">
        <v>134.4</v>
      </c>
      <c r="L95" s="245">
        <v>134.4</v>
      </c>
      <c r="M95" s="245">
        <v>132.30000000000001</v>
      </c>
      <c r="N95" s="245">
        <v>132.30000000000001</v>
      </c>
      <c r="O95" s="245">
        <v>132.1</v>
      </c>
      <c r="P95" s="245">
        <v>132.30000000000001</v>
      </c>
      <c r="Q95" s="245">
        <v>134.6</v>
      </c>
      <c r="R95" s="245">
        <v>130.80000000000001</v>
      </c>
      <c r="S95" s="245"/>
      <c r="T95" s="245">
        <v>132.69999999999999</v>
      </c>
      <c r="U95" s="245">
        <v>130.80000000000001</v>
      </c>
      <c r="V95" s="245">
        <v>134.6</v>
      </c>
      <c r="W95" s="245">
        <v>135.69999999999999</v>
      </c>
      <c r="X95" s="245">
        <v>133.19999999999999</v>
      </c>
      <c r="Y95" s="245">
        <v>130</v>
      </c>
      <c r="Z95" s="245">
        <v>133.19999999999999</v>
      </c>
      <c r="AA95" s="245">
        <v>130</v>
      </c>
      <c r="AB95" s="245">
        <v>130</v>
      </c>
      <c r="AC95" s="245">
        <v>130</v>
      </c>
      <c r="AD95" s="245">
        <v>130</v>
      </c>
      <c r="AE95" s="245">
        <v>131</v>
      </c>
      <c r="AF95" s="245"/>
      <c r="AG95" s="272"/>
      <c r="AH95" s="226">
        <f t="shared" si="14"/>
        <v>136.69999999999999</v>
      </c>
      <c r="AI95" s="227">
        <f t="shared" si="16"/>
        <v>130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66</v>
      </c>
      <c r="C96" s="276">
        <v>66</v>
      </c>
      <c r="D96" s="276">
        <v>66</v>
      </c>
      <c r="E96" s="276">
        <v>66.099999999999994</v>
      </c>
      <c r="F96" s="276">
        <v>65.599999999999994</v>
      </c>
      <c r="G96" s="276">
        <v>65.7</v>
      </c>
      <c r="H96" s="276">
        <v>65.400000000000006</v>
      </c>
      <c r="I96" s="276">
        <v>65.3</v>
      </c>
      <c r="J96" s="276">
        <v>65.099999999999994</v>
      </c>
      <c r="K96" s="276">
        <v>64.7</v>
      </c>
      <c r="L96" s="276">
        <v>64.7</v>
      </c>
      <c r="M96" s="276">
        <v>64.599999999999994</v>
      </c>
      <c r="N96" s="276">
        <v>64.599999999999994</v>
      </c>
      <c r="O96" s="276">
        <v>64.400000000000006</v>
      </c>
      <c r="P96" s="276">
        <v>64.3</v>
      </c>
      <c r="Q96" s="276">
        <v>63.8</v>
      </c>
      <c r="R96" s="276">
        <v>63.7</v>
      </c>
      <c r="S96" s="276"/>
      <c r="T96" s="276">
        <v>64</v>
      </c>
      <c r="U96" s="276">
        <v>63.7</v>
      </c>
      <c r="V96" s="276">
        <v>63.8</v>
      </c>
      <c r="W96" s="276">
        <v>64.8</v>
      </c>
      <c r="X96" s="276">
        <v>65</v>
      </c>
      <c r="Y96" s="276">
        <v>64.400000000000006</v>
      </c>
      <c r="Z96" s="276">
        <v>65</v>
      </c>
      <c r="AA96" s="276">
        <v>64.400000000000006</v>
      </c>
      <c r="AB96" s="276">
        <v>64.400000000000006</v>
      </c>
      <c r="AC96" s="276">
        <v>64.400000000000006</v>
      </c>
      <c r="AD96" s="276">
        <v>64.400000000000006</v>
      </c>
      <c r="AE96" s="276">
        <v>66</v>
      </c>
      <c r="AF96" s="276"/>
      <c r="AG96" s="277"/>
      <c r="AH96" s="226">
        <f t="shared" si="14"/>
        <v>66.099999999999994</v>
      </c>
      <c r="AI96" s="227">
        <f t="shared" si="16"/>
        <v>63.7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4"/>
        <v>0</v>
      </c>
      <c r="AI97" s="227">
        <f t="shared" si="16"/>
        <v>0</v>
      </c>
    </row>
    <row r="98" spans="1:37" ht="15.75" thickBot="1" x14ac:dyDescent="0.3">
      <c r="A98" s="279" t="s">
        <v>102</v>
      </c>
      <c r="B98" s="280">
        <f t="shared" ref="B98:AF98" si="23">SUM(B15,B18,B21:B22,B46,B48:B49,B51,B53,B99:B103,B125,B131,B137,B146,B148,B160,B167,B170:B171,B178,B180,B182,B186:B188,B190:B192,B197,B203:B204,B206:B208,B216,B221)</f>
        <v>51.7</v>
      </c>
      <c r="C98" s="280">
        <f t="shared" si="23"/>
        <v>38.839999999999996</v>
      </c>
      <c r="D98" s="280">
        <f t="shared" si="23"/>
        <v>38.839999999999996</v>
      </c>
      <c r="E98" s="280">
        <f t="shared" si="23"/>
        <v>40.139999999999979</v>
      </c>
      <c r="F98" s="280">
        <f t="shared" si="23"/>
        <v>46.64</v>
      </c>
      <c r="G98" s="280">
        <f t="shared" si="23"/>
        <v>60.94</v>
      </c>
      <c r="H98" s="280">
        <f t="shared" si="23"/>
        <v>71.040000000000006</v>
      </c>
      <c r="I98" s="280">
        <f t="shared" si="23"/>
        <v>113.53999999999999</v>
      </c>
      <c r="J98" s="280">
        <f t="shared" si="23"/>
        <v>140.83999999999997</v>
      </c>
      <c r="K98" s="280">
        <f t="shared" si="23"/>
        <v>170.09</v>
      </c>
      <c r="L98" s="280">
        <f t="shared" si="23"/>
        <v>187.02999999999994</v>
      </c>
      <c r="M98" s="280">
        <f t="shared" si="23"/>
        <v>212.94</v>
      </c>
      <c r="N98" s="280">
        <f t="shared" si="23"/>
        <v>212.97000000000003</v>
      </c>
      <c r="O98" s="280">
        <f t="shared" si="23"/>
        <v>196.01</v>
      </c>
      <c r="P98" s="280">
        <f t="shared" si="23"/>
        <v>185.34</v>
      </c>
      <c r="Q98" s="280">
        <f t="shared" si="23"/>
        <v>172.75000000000006</v>
      </c>
      <c r="R98" s="280">
        <f t="shared" si="23"/>
        <v>175.80000000000004</v>
      </c>
      <c r="S98" s="280">
        <f t="shared" si="23"/>
        <v>0</v>
      </c>
      <c r="T98" s="280">
        <f t="shared" si="23"/>
        <v>183.4</v>
      </c>
      <c r="U98" s="280">
        <f t="shared" si="23"/>
        <v>178.3</v>
      </c>
      <c r="V98" s="280">
        <f t="shared" si="23"/>
        <v>213.9</v>
      </c>
      <c r="W98" s="280">
        <f t="shared" si="23"/>
        <v>212.29999999999998</v>
      </c>
      <c r="X98" s="280">
        <f t="shared" si="23"/>
        <v>208.3</v>
      </c>
      <c r="Y98" s="280">
        <f t="shared" si="23"/>
        <v>262.60000000000002</v>
      </c>
      <c r="Z98" s="280">
        <f t="shared" si="23"/>
        <v>302.39999999999998</v>
      </c>
      <c r="AA98" s="280">
        <f t="shared" si="23"/>
        <v>293.40000000000003</v>
      </c>
      <c r="AB98" s="280">
        <f t="shared" si="23"/>
        <v>273.40000000000003</v>
      </c>
      <c r="AC98" s="280">
        <f t="shared" si="23"/>
        <v>425</v>
      </c>
      <c r="AD98" s="280">
        <f t="shared" si="23"/>
        <v>139</v>
      </c>
      <c r="AE98" s="280">
        <f t="shared" si="23"/>
        <v>83.300000000000011</v>
      </c>
      <c r="AF98" s="280">
        <f t="shared" si="23"/>
        <v>145.30000000000001</v>
      </c>
      <c r="AG98" s="281"/>
      <c r="AH98" s="226">
        <f>MAX(C98:AF98)</f>
        <v>425</v>
      </c>
      <c r="AI98" s="227">
        <f>MIN(C98:AF98)</f>
        <v>0</v>
      </c>
    </row>
    <row r="99" spans="1:37" x14ac:dyDescent="0.25">
      <c r="A99" s="268" t="s">
        <v>103</v>
      </c>
      <c r="B99" s="282">
        <v>12.2</v>
      </c>
      <c r="C99" s="282">
        <v>11.2</v>
      </c>
      <c r="D99" s="282">
        <v>11.2</v>
      </c>
      <c r="E99" s="282">
        <v>11.7</v>
      </c>
      <c r="F99" s="282">
        <v>-4.5999999999999996</v>
      </c>
      <c r="G99" s="282">
        <v>-2.7</v>
      </c>
      <c r="H99" s="282">
        <v>3</v>
      </c>
      <c r="I99" s="282">
        <v>21.4</v>
      </c>
      <c r="J99" s="282">
        <v>20.100000000000001</v>
      </c>
      <c r="K99" s="282">
        <v>28.1</v>
      </c>
      <c r="L99" s="282">
        <v>28.1</v>
      </c>
      <c r="M99" s="282">
        <v>28.8</v>
      </c>
      <c r="N99" s="282">
        <v>28.8</v>
      </c>
      <c r="O99" s="282">
        <v>34.6</v>
      </c>
      <c r="P99" s="282">
        <v>41.7</v>
      </c>
      <c r="Q99" s="282">
        <v>42.2</v>
      </c>
      <c r="R99" s="282">
        <v>45.6</v>
      </c>
      <c r="S99" s="282"/>
      <c r="T99" s="282">
        <v>34.299999999999997</v>
      </c>
      <c r="U99" s="282"/>
      <c r="V99" s="282">
        <v>28.2</v>
      </c>
      <c r="W99" s="282">
        <v>30.8</v>
      </c>
      <c r="X99" s="282">
        <v>38</v>
      </c>
      <c r="Y99" s="282">
        <v>40</v>
      </c>
      <c r="Z99" s="282">
        <v>39.700000000000003</v>
      </c>
      <c r="AA99" s="282">
        <v>46.8</v>
      </c>
      <c r="AB99" s="282">
        <v>46.8</v>
      </c>
      <c r="AC99" s="282">
        <v>40</v>
      </c>
      <c r="AD99" s="282">
        <v>37</v>
      </c>
      <c r="AE99" s="282">
        <v>21</v>
      </c>
      <c r="AF99" s="282"/>
      <c r="AG99" s="283">
        <v>75</v>
      </c>
      <c r="AH99" s="226">
        <f t="shared" ref="AH99:AH107" si="24">IF(ABS(MAX(C99:AF99))&gt;ABS(MIN(C99:AF99)),MAX(C99:AF99),MIN(C99:AF99))</f>
        <v>46.8</v>
      </c>
      <c r="AI99" s="284">
        <f t="shared" ref="AI99:AI107" si="25">INDEX($C$9:$AF$9,1,MATCH(AH99,C99:AF99,0))</f>
        <v>0.8125</v>
      </c>
    </row>
    <row r="100" spans="1:37" x14ac:dyDescent="0.25">
      <c r="A100" s="271" t="s">
        <v>269</v>
      </c>
      <c r="B100" s="285">
        <v>29.4</v>
      </c>
      <c r="C100" s="285">
        <v>27</v>
      </c>
      <c r="D100" s="285">
        <v>27</v>
      </c>
      <c r="E100" s="285">
        <v>28.6</v>
      </c>
      <c r="F100" s="285">
        <v>-2.1</v>
      </c>
      <c r="G100" s="285">
        <v>0</v>
      </c>
      <c r="H100" s="285">
        <v>5.3</v>
      </c>
      <c r="I100" s="285">
        <v>33.1</v>
      </c>
      <c r="J100" s="285">
        <v>27.5</v>
      </c>
      <c r="K100" s="285">
        <v>40.799999999999997</v>
      </c>
      <c r="L100" s="285">
        <v>40.799999999999997</v>
      </c>
      <c r="M100" s="285">
        <v>42.8</v>
      </c>
      <c r="N100" s="285">
        <v>42.8</v>
      </c>
      <c r="O100" s="285">
        <v>51.9</v>
      </c>
      <c r="P100" s="285">
        <v>62.1</v>
      </c>
      <c r="Q100" s="285">
        <v>63.1</v>
      </c>
      <c r="R100" s="285">
        <v>66.900000000000006</v>
      </c>
      <c r="S100" s="285"/>
      <c r="T100" s="285">
        <v>52.4</v>
      </c>
      <c r="U100" s="285"/>
      <c r="V100" s="285">
        <v>44.1</v>
      </c>
      <c r="W100" s="285">
        <v>46.6</v>
      </c>
      <c r="X100" s="285">
        <v>58</v>
      </c>
      <c r="Y100" s="285">
        <v>62</v>
      </c>
      <c r="Z100" s="285">
        <v>88.1</v>
      </c>
      <c r="AA100" s="285">
        <v>72</v>
      </c>
      <c r="AB100" s="285">
        <v>72</v>
      </c>
      <c r="AC100" s="285">
        <v>60</v>
      </c>
      <c r="AD100" s="285">
        <v>56</v>
      </c>
      <c r="AE100" s="285">
        <v>36</v>
      </c>
      <c r="AF100" s="285"/>
      <c r="AG100" s="283">
        <v>240</v>
      </c>
      <c r="AH100" s="226">
        <f t="shared" si="24"/>
        <v>88.1</v>
      </c>
      <c r="AI100" s="284">
        <f t="shared" si="25"/>
        <v>0.79166666666666663</v>
      </c>
    </row>
    <row r="101" spans="1:37" x14ac:dyDescent="0.25">
      <c r="A101" s="271" t="s">
        <v>104</v>
      </c>
      <c r="B101" s="285">
        <f>-65-69</f>
        <v>-134</v>
      </c>
      <c r="C101" s="285">
        <f>-70-73</f>
        <v>-143</v>
      </c>
      <c r="D101" s="285">
        <f>-70-73</f>
        <v>-143</v>
      </c>
      <c r="E101" s="285">
        <v>-124</v>
      </c>
      <c r="F101" s="285">
        <v>-104</v>
      </c>
      <c r="G101" s="285">
        <v>-95</v>
      </c>
      <c r="H101" s="285">
        <v>-98</v>
      </c>
      <c r="I101" s="285">
        <v>-92</v>
      </c>
      <c r="J101" s="285">
        <v>-65</v>
      </c>
      <c r="K101" s="285">
        <v>-60</v>
      </c>
      <c r="L101" s="285">
        <v>-60</v>
      </c>
      <c r="M101" s="285">
        <v>-42.7</v>
      </c>
      <c r="N101" s="285">
        <v>-42.7</v>
      </c>
      <c r="O101" s="285">
        <v>-53</v>
      </c>
      <c r="P101" s="285">
        <v>-100</v>
      </c>
      <c r="Q101" s="285">
        <f>-56.4-59.5</f>
        <v>-115.9</v>
      </c>
      <c r="R101" s="285">
        <v>-108</v>
      </c>
      <c r="S101" s="285"/>
      <c r="T101" s="285">
        <f>-48-53</f>
        <v>-101</v>
      </c>
      <c r="U101" s="285"/>
      <c r="V101" s="285">
        <f>-42-45</f>
        <v>-87</v>
      </c>
      <c r="W101" s="285">
        <f>-37.6-40.7</f>
        <v>-78.300000000000011</v>
      </c>
      <c r="X101" s="285">
        <f>-41-45</f>
        <v>-86</v>
      </c>
      <c r="Y101" s="285">
        <f>-43-48</f>
        <v>-91</v>
      </c>
      <c r="Z101" s="285">
        <f>-50-52</f>
        <v>-102</v>
      </c>
      <c r="AA101" s="285">
        <f>-50-52</f>
        <v>-102</v>
      </c>
      <c r="AB101" s="285">
        <f>-50-52</f>
        <v>-102</v>
      </c>
      <c r="AC101" s="285">
        <v>110</v>
      </c>
      <c r="AD101" s="285">
        <v>-120</v>
      </c>
      <c r="AE101" s="285">
        <v>-120</v>
      </c>
      <c r="AF101" s="285"/>
      <c r="AG101" s="283">
        <v>240</v>
      </c>
      <c r="AH101" s="226">
        <f t="shared" si="24"/>
        <v>-143</v>
      </c>
      <c r="AI101" s="284">
        <f t="shared" si="25"/>
        <v>4.1666666666666664E-2</v>
      </c>
    </row>
    <row r="102" spans="1:37" x14ac:dyDescent="0.25">
      <c r="A102" s="271" t="s">
        <v>105</v>
      </c>
      <c r="B102" s="285">
        <v>-3.7</v>
      </c>
      <c r="C102" s="285">
        <v>-5.0999999999999996</v>
      </c>
      <c r="D102" s="285">
        <v>-5.0999999999999996</v>
      </c>
      <c r="E102" s="285">
        <v>-5.0999999999999996</v>
      </c>
      <c r="F102" s="285">
        <v>-1.3</v>
      </c>
      <c r="G102" s="285">
        <v>0</v>
      </c>
      <c r="H102" s="285">
        <v>1.8</v>
      </c>
      <c r="I102" s="285">
        <v>3</v>
      </c>
      <c r="J102" s="285">
        <v>10.199999999999999</v>
      </c>
      <c r="K102" s="285">
        <v>12.6</v>
      </c>
      <c r="L102" s="285">
        <v>12.6</v>
      </c>
      <c r="M102" s="285">
        <v>14.7</v>
      </c>
      <c r="N102" s="285">
        <v>14.7</v>
      </c>
      <c r="O102" s="285">
        <v>13.6</v>
      </c>
      <c r="P102" s="285">
        <v>8.4</v>
      </c>
      <c r="Q102" s="285">
        <v>5.6</v>
      </c>
      <c r="R102" s="285">
        <v>5.6</v>
      </c>
      <c r="S102" s="285"/>
      <c r="T102" s="285">
        <v>6.4</v>
      </c>
      <c r="U102" s="285"/>
      <c r="V102" s="285">
        <v>9.3000000000000007</v>
      </c>
      <c r="W102" s="285">
        <v>10.7</v>
      </c>
      <c r="X102" s="285">
        <v>9.4</v>
      </c>
      <c r="Y102" s="285">
        <v>14.5</v>
      </c>
      <c r="Z102" s="285">
        <v>45.3</v>
      </c>
      <c r="AA102" s="285">
        <v>45.3</v>
      </c>
      <c r="AB102" s="285">
        <v>45.3</v>
      </c>
      <c r="AC102" s="285">
        <v>20</v>
      </c>
      <c r="AD102" s="285">
        <v>1</v>
      </c>
      <c r="AE102" s="285">
        <v>1</v>
      </c>
      <c r="AF102" s="285"/>
      <c r="AG102" s="283">
        <v>60</v>
      </c>
      <c r="AH102" s="226">
        <f t="shared" si="24"/>
        <v>45.3</v>
      </c>
      <c r="AI102" s="284">
        <f t="shared" si="25"/>
        <v>0.79166666666666663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>
        <v>0</v>
      </c>
      <c r="F103" s="287">
        <v>0</v>
      </c>
      <c r="G103" s="287">
        <v>0</v>
      </c>
      <c r="H103" s="287">
        <v>0</v>
      </c>
      <c r="I103" s="287">
        <v>0</v>
      </c>
      <c r="J103" s="287">
        <v>0</v>
      </c>
      <c r="K103" s="287">
        <v>0</v>
      </c>
      <c r="L103" s="287">
        <v>0</v>
      </c>
      <c r="M103" s="287">
        <v>0</v>
      </c>
      <c r="N103" s="287">
        <v>0</v>
      </c>
      <c r="O103" s="287">
        <v>0</v>
      </c>
      <c r="P103" s="287">
        <v>0</v>
      </c>
      <c r="Q103" s="287">
        <v>0</v>
      </c>
      <c r="R103" s="287">
        <v>0</v>
      </c>
      <c r="S103" s="287"/>
      <c r="T103" s="287">
        <v>13</v>
      </c>
      <c r="U103" s="287"/>
      <c r="V103" s="287">
        <v>41</v>
      </c>
      <c r="W103" s="287">
        <v>41.1</v>
      </c>
      <c r="X103" s="287">
        <v>33.5</v>
      </c>
      <c r="Y103" s="287">
        <v>42.1</v>
      </c>
      <c r="Z103" s="287">
        <v>36.299999999999997</v>
      </c>
      <c r="AA103" s="287">
        <v>36.299999999999997</v>
      </c>
      <c r="AB103" s="287">
        <v>36.299999999999997</v>
      </c>
      <c r="AC103" s="287">
        <v>20</v>
      </c>
      <c r="AD103" s="287">
        <v>0</v>
      </c>
      <c r="AE103" s="287">
        <v>0</v>
      </c>
      <c r="AF103" s="287"/>
      <c r="AG103" s="288">
        <v>120</v>
      </c>
      <c r="AH103" s="226">
        <f t="shared" si="24"/>
        <v>42.1</v>
      </c>
      <c r="AI103" s="284">
        <f t="shared" si="25"/>
        <v>0.77083333333333337</v>
      </c>
    </row>
    <row r="104" spans="1:37" x14ac:dyDescent="0.25">
      <c r="A104" s="286" t="s">
        <v>107</v>
      </c>
      <c r="B104" s="287">
        <v>16</v>
      </c>
      <c r="C104" s="287">
        <v>14</v>
      </c>
      <c r="D104" s="287">
        <v>14</v>
      </c>
      <c r="E104" s="287">
        <v>22</v>
      </c>
      <c r="F104" s="287">
        <v>41</v>
      </c>
      <c r="G104" s="287">
        <v>42</v>
      </c>
      <c r="H104" s="287">
        <v>43</v>
      </c>
      <c r="I104" s="287">
        <v>25</v>
      </c>
      <c r="J104" s="287">
        <v>45</v>
      </c>
      <c r="K104" s="287">
        <v>42.1</v>
      </c>
      <c r="L104" s="287">
        <v>42.1</v>
      </c>
      <c r="M104" s="287">
        <v>65.900000000000006</v>
      </c>
      <c r="N104" s="287">
        <v>65.900000000000006</v>
      </c>
      <c r="O104" s="287">
        <v>39.5</v>
      </c>
      <c r="P104" s="287">
        <v>9.6</v>
      </c>
      <c r="Q104" s="287">
        <v>7.2</v>
      </c>
      <c r="R104" s="287">
        <v>15.7</v>
      </c>
      <c r="S104" s="287"/>
      <c r="T104" s="287">
        <v>13</v>
      </c>
      <c r="U104" s="287"/>
      <c r="V104" s="287">
        <v>35</v>
      </c>
      <c r="W104" s="287">
        <v>34.299999999999997</v>
      </c>
      <c r="X104" s="287">
        <v>28.1</v>
      </c>
      <c r="Y104" s="287">
        <v>36</v>
      </c>
      <c r="Z104" s="287">
        <v>38</v>
      </c>
      <c r="AA104" s="287">
        <v>38</v>
      </c>
      <c r="AB104" s="287">
        <v>38</v>
      </c>
      <c r="AC104" s="287">
        <v>20</v>
      </c>
      <c r="AD104" s="287">
        <v>11</v>
      </c>
      <c r="AE104" s="287">
        <v>5</v>
      </c>
      <c r="AF104" s="287"/>
      <c r="AG104" s="288"/>
      <c r="AH104" s="226">
        <f t="shared" si="24"/>
        <v>65.900000000000006</v>
      </c>
      <c r="AI104" s="284">
        <f t="shared" si="25"/>
        <v>0.33333333333333331</v>
      </c>
    </row>
    <row r="105" spans="1:37" x14ac:dyDescent="0.25">
      <c r="A105" s="286" t="s">
        <v>108</v>
      </c>
      <c r="B105" s="287">
        <v>27.2</v>
      </c>
      <c r="C105" s="287">
        <v>24.3</v>
      </c>
      <c r="D105" s="287">
        <v>24.3</v>
      </c>
      <c r="E105" s="287">
        <v>31.5</v>
      </c>
      <c r="F105" s="287">
        <v>11</v>
      </c>
      <c r="G105" s="287">
        <v>3</v>
      </c>
      <c r="H105" s="287">
        <v>-6</v>
      </c>
      <c r="I105" s="287">
        <v>-8.1999999999999993</v>
      </c>
      <c r="J105" s="287">
        <v>8</v>
      </c>
      <c r="K105" s="287">
        <v>-15.1</v>
      </c>
      <c r="L105" s="287">
        <v>-15.1</v>
      </c>
      <c r="M105" s="287">
        <v>15</v>
      </c>
      <c r="N105" s="287">
        <v>15</v>
      </c>
      <c r="O105" s="287">
        <v>-16.100000000000001</v>
      </c>
      <c r="P105" s="287">
        <v>-40.5</v>
      </c>
      <c r="Q105" s="287">
        <v>-52.6</v>
      </c>
      <c r="R105" s="287">
        <v>-49.4</v>
      </c>
      <c r="S105" s="287"/>
      <c r="T105" s="287"/>
      <c r="U105" s="287"/>
      <c r="V105" s="287"/>
      <c r="W105" s="287"/>
      <c r="X105" s="287">
        <v>11.1</v>
      </c>
      <c r="Y105" s="287"/>
      <c r="Z105" s="287">
        <v>37</v>
      </c>
      <c r="AA105" s="287">
        <v>37</v>
      </c>
      <c r="AB105" s="287">
        <v>37</v>
      </c>
      <c r="AC105" s="287">
        <v>35</v>
      </c>
      <c r="AD105" s="287">
        <v>33</v>
      </c>
      <c r="AE105" s="287">
        <v>1</v>
      </c>
      <c r="AF105" s="287"/>
      <c r="AG105" s="289"/>
      <c r="AH105" s="226">
        <f t="shared" si="24"/>
        <v>-52.6</v>
      </c>
      <c r="AI105" s="284">
        <f t="shared" si="25"/>
        <v>0.5</v>
      </c>
    </row>
    <row r="106" spans="1:37" x14ac:dyDescent="0.25">
      <c r="A106" s="290" t="s">
        <v>109</v>
      </c>
      <c r="B106" s="274">
        <v>117</v>
      </c>
      <c r="C106" s="274">
        <v>113</v>
      </c>
      <c r="D106" s="274">
        <v>113</v>
      </c>
      <c r="E106" s="274">
        <v>120</v>
      </c>
      <c r="F106" s="274">
        <v>120.5</v>
      </c>
      <c r="G106" s="274">
        <v>122</v>
      </c>
      <c r="H106" s="274">
        <v>121</v>
      </c>
      <c r="I106" s="274">
        <v>122</v>
      </c>
      <c r="J106" s="274">
        <v>121</v>
      </c>
      <c r="K106" s="274">
        <v>117.7</v>
      </c>
      <c r="L106" s="274">
        <v>117.7</v>
      </c>
      <c r="M106" s="274">
        <v>112.5</v>
      </c>
      <c r="N106" s="274">
        <v>112.5</v>
      </c>
      <c r="O106" s="274">
        <v>115.7</v>
      </c>
      <c r="P106" s="274">
        <v>108.4</v>
      </c>
      <c r="Q106" s="274">
        <v>112.8</v>
      </c>
      <c r="R106" s="274">
        <v>103.9</v>
      </c>
      <c r="S106" s="274"/>
      <c r="T106" s="274">
        <v>102</v>
      </c>
      <c r="U106" s="274"/>
      <c r="V106" s="274">
        <v>99</v>
      </c>
      <c r="W106" s="274">
        <v>94.5</v>
      </c>
      <c r="X106" s="274">
        <v>89.3</v>
      </c>
      <c r="Y106" s="274">
        <v>79</v>
      </c>
      <c r="Z106" s="274">
        <v>88</v>
      </c>
      <c r="AA106" s="274">
        <v>88</v>
      </c>
      <c r="AB106" s="274">
        <v>88</v>
      </c>
      <c r="AC106" s="274">
        <v>100</v>
      </c>
      <c r="AD106" s="274">
        <v>104</v>
      </c>
      <c r="AE106" s="274">
        <v>101</v>
      </c>
      <c r="AF106" s="274"/>
      <c r="AG106" s="289"/>
      <c r="AH106" s="226">
        <f t="shared" si="24"/>
        <v>122</v>
      </c>
      <c r="AI106" s="284">
        <f t="shared" si="25"/>
        <v>0.20833333333333301</v>
      </c>
    </row>
    <row r="107" spans="1:37" ht="15.75" thickBot="1" x14ac:dyDescent="0.3">
      <c r="A107" s="290" t="s">
        <v>110</v>
      </c>
      <c r="B107" s="274">
        <v>85</v>
      </c>
      <c r="C107" s="274">
        <v>92</v>
      </c>
      <c r="D107" s="274">
        <v>92</v>
      </c>
      <c r="E107" s="274">
        <v>82.1</v>
      </c>
      <c r="F107" s="274">
        <v>61.3</v>
      </c>
      <c r="G107" s="274">
        <v>59</v>
      </c>
      <c r="H107" s="274">
        <v>61</v>
      </c>
      <c r="I107" s="274">
        <v>67</v>
      </c>
      <c r="J107" s="274">
        <v>42</v>
      </c>
      <c r="K107" s="274">
        <v>44.8</v>
      </c>
      <c r="L107" s="274">
        <v>44.8</v>
      </c>
      <c r="M107" s="274">
        <v>32.799999999999997</v>
      </c>
      <c r="N107" s="274">
        <v>32.799999999999997</v>
      </c>
      <c r="O107" s="274">
        <v>40.799999999999997</v>
      </c>
      <c r="P107" s="274">
        <v>78.8</v>
      </c>
      <c r="Q107" s="274">
        <v>90.1</v>
      </c>
      <c r="R107" s="274">
        <v>83.3</v>
      </c>
      <c r="S107" s="274"/>
      <c r="T107" s="274">
        <v>74</v>
      </c>
      <c r="U107" s="274"/>
      <c r="V107" s="274">
        <v>59</v>
      </c>
      <c r="W107" s="274">
        <v>53.6</v>
      </c>
      <c r="X107" s="274">
        <v>62</v>
      </c>
      <c r="Y107" s="274">
        <v>66</v>
      </c>
      <c r="Z107" s="274">
        <v>64</v>
      </c>
      <c r="AA107" s="274">
        <v>64</v>
      </c>
      <c r="AB107" s="274">
        <v>64</v>
      </c>
      <c r="AC107" s="274">
        <v>70</v>
      </c>
      <c r="AD107" s="274">
        <v>88</v>
      </c>
      <c r="AE107" s="274">
        <v>80</v>
      </c>
      <c r="AF107" s="274"/>
      <c r="AG107" s="289"/>
      <c r="AH107" s="226">
        <f t="shared" si="24"/>
        <v>92</v>
      </c>
      <c r="AI107" s="284">
        <f t="shared" si="25"/>
        <v>4.1666666666666664E-2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26">SUM(C109:C213)</f>
        <v>0</v>
      </c>
      <c r="D214" s="307">
        <f t="shared" si="26"/>
        <v>0</v>
      </c>
      <c r="E214" s="307">
        <f t="shared" si="26"/>
        <v>0</v>
      </c>
      <c r="F214" s="307">
        <f t="shared" si="26"/>
        <v>0</v>
      </c>
      <c r="G214" s="307">
        <f t="shared" si="26"/>
        <v>0</v>
      </c>
      <c r="H214" s="307">
        <f t="shared" si="26"/>
        <v>0</v>
      </c>
      <c r="I214" s="307">
        <f t="shared" si="26"/>
        <v>0</v>
      </c>
      <c r="J214" s="307">
        <f t="shared" si="26"/>
        <v>0</v>
      </c>
      <c r="K214" s="307">
        <f t="shared" si="26"/>
        <v>0</v>
      </c>
      <c r="L214" s="307">
        <f t="shared" si="26"/>
        <v>0</v>
      </c>
      <c r="M214" s="307">
        <f t="shared" si="26"/>
        <v>0</v>
      </c>
      <c r="N214" s="307">
        <f t="shared" si="26"/>
        <v>0</v>
      </c>
      <c r="O214" s="307">
        <f t="shared" si="26"/>
        <v>0</v>
      </c>
      <c r="P214" s="307">
        <f t="shared" si="26"/>
        <v>0</v>
      </c>
      <c r="Q214" s="307">
        <f t="shared" si="26"/>
        <v>0</v>
      </c>
      <c r="R214" s="307">
        <f t="shared" si="26"/>
        <v>0</v>
      </c>
      <c r="S214" s="307">
        <f t="shared" si="26"/>
        <v>0</v>
      </c>
      <c r="T214" s="307">
        <f t="shared" si="26"/>
        <v>0</v>
      </c>
      <c r="U214" s="307">
        <f t="shared" si="26"/>
        <v>0</v>
      </c>
      <c r="V214" s="307">
        <f t="shared" si="26"/>
        <v>0</v>
      </c>
      <c r="W214" s="307">
        <f t="shared" si="26"/>
        <v>0</v>
      </c>
      <c r="X214" s="307">
        <f t="shared" si="26"/>
        <v>0</v>
      </c>
      <c r="Y214" s="307">
        <f t="shared" si="26"/>
        <v>0</v>
      </c>
      <c r="Z214" s="307">
        <f t="shared" si="26"/>
        <v>0</v>
      </c>
      <c r="AA214" s="307">
        <f t="shared" si="26"/>
        <v>0</v>
      </c>
      <c r="AB214" s="307">
        <f t="shared" si="26"/>
        <v>0</v>
      </c>
      <c r="AC214" s="307">
        <f t="shared" si="26"/>
        <v>0</v>
      </c>
      <c r="AD214" s="307">
        <f t="shared" si="26"/>
        <v>0</v>
      </c>
      <c r="AE214" s="307">
        <f t="shared" si="26"/>
        <v>0</v>
      </c>
      <c r="AF214" s="308">
        <f t="shared" si="26"/>
        <v>0</v>
      </c>
      <c r="AG214" s="309">
        <f t="shared" si="26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27">AF216</f>
        <v>0</v>
      </c>
      <c r="C216" s="312">
        <v>0.3</v>
      </c>
      <c r="D216" s="312">
        <f t="shared" ref="D216:P221" si="28">C216</f>
        <v>0.3</v>
      </c>
      <c r="E216" s="312">
        <f t="shared" si="28"/>
        <v>0.3</v>
      </c>
      <c r="F216" s="312">
        <f t="shared" si="28"/>
        <v>0.3</v>
      </c>
      <c r="G216" s="312">
        <f t="shared" si="28"/>
        <v>0.3</v>
      </c>
      <c r="H216" s="312">
        <f t="shared" si="28"/>
        <v>0.3</v>
      </c>
      <c r="I216" s="312">
        <f t="shared" si="28"/>
        <v>0.3</v>
      </c>
      <c r="J216" s="312">
        <f t="shared" si="28"/>
        <v>0.3</v>
      </c>
      <c r="K216" s="312">
        <f t="shared" si="28"/>
        <v>0.3</v>
      </c>
      <c r="L216" s="312">
        <f t="shared" si="28"/>
        <v>0.3</v>
      </c>
      <c r="M216" s="312">
        <f t="shared" si="28"/>
        <v>0.3</v>
      </c>
      <c r="N216" s="312">
        <f t="shared" si="28"/>
        <v>0.3</v>
      </c>
      <c r="O216" s="312">
        <f t="shared" si="28"/>
        <v>0.3</v>
      </c>
      <c r="P216" s="312">
        <f t="shared" si="28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27"/>
        <v>0</v>
      </c>
      <c r="C217" s="299">
        <v>0.4</v>
      </c>
      <c r="D217" s="299">
        <f t="shared" si="28"/>
        <v>0.4</v>
      </c>
      <c r="E217" s="299">
        <f t="shared" si="28"/>
        <v>0.4</v>
      </c>
      <c r="F217" s="299">
        <f t="shared" si="28"/>
        <v>0.4</v>
      </c>
      <c r="G217" s="299">
        <f t="shared" si="28"/>
        <v>0.4</v>
      </c>
      <c r="H217" s="299">
        <f t="shared" si="28"/>
        <v>0.4</v>
      </c>
      <c r="I217" s="299">
        <f t="shared" si="28"/>
        <v>0.4</v>
      </c>
      <c r="J217" s="299">
        <f t="shared" si="28"/>
        <v>0.4</v>
      </c>
      <c r="K217" s="299">
        <f t="shared" si="28"/>
        <v>0.4</v>
      </c>
      <c r="L217" s="299">
        <f t="shared" si="28"/>
        <v>0.4</v>
      </c>
      <c r="M217" s="299">
        <f t="shared" si="28"/>
        <v>0.4</v>
      </c>
      <c r="N217" s="299">
        <f t="shared" si="28"/>
        <v>0.4</v>
      </c>
      <c r="O217" s="299">
        <f t="shared" si="28"/>
        <v>0.4</v>
      </c>
      <c r="P217" s="299">
        <f t="shared" si="28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27"/>
        <v>0</v>
      </c>
      <c r="C218" s="299">
        <v>1.5</v>
      </c>
      <c r="D218" s="299">
        <f t="shared" si="28"/>
        <v>1.5</v>
      </c>
      <c r="E218" s="299">
        <f t="shared" si="28"/>
        <v>1.5</v>
      </c>
      <c r="F218" s="299">
        <f t="shared" si="28"/>
        <v>1.5</v>
      </c>
      <c r="G218" s="299">
        <f t="shared" si="28"/>
        <v>1.5</v>
      </c>
      <c r="H218" s="299">
        <f t="shared" si="28"/>
        <v>1.5</v>
      </c>
      <c r="I218" s="299">
        <f t="shared" si="28"/>
        <v>1.5</v>
      </c>
      <c r="J218" s="299">
        <f t="shared" si="28"/>
        <v>1.5</v>
      </c>
      <c r="K218" s="299">
        <f t="shared" si="28"/>
        <v>1.5</v>
      </c>
      <c r="L218" s="299">
        <f t="shared" si="28"/>
        <v>1.5</v>
      </c>
      <c r="M218" s="299">
        <f t="shared" si="28"/>
        <v>1.5</v>
      </c>
      <c r="N218" s="299">
        <f t="shared" si="28"/>
        <v>1.5</v>
      </c>
      <c r="O218" s="299">
        <f t="shared" si="28"/>
        <v>1.5</v>
      </c>
      <c r="P218" s="299">
        <f t="shared" si="28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27"/>
        <v>0</v>
      </c>
      <c r="C219" s="299">
        <v>0.3</v>
      </c>
      <c r="D219" s="299">
        <f t="shared" si="28"/>
        <v>0.3</v>
      </c>
      <c r="E219" s="299">
        <f t="shared" si="28"/>
        <v>0.3</v>
      </c>
      <c r="F219" s="299">
        <f t="shared" si="28"/>
        <v>0.3</v>
      </c>
      <c r="G219" s="299">
        <f t="shared" si="28"/>
        <v>0.3</v>
      </c>
      <c r="H219" s="299">
        <f t="shared" si="28"/>
        <v>0.3</v>
      </c>
      <c r="I219" s="299">
        <f t="shared" si="28"/>
        <v>0.3</v>
      </c>
      <c r="J219" s="299">
        <f t="shared" si="28"/>
        <v>0.3</v>
      </c>
      <c r="K219" s="299">
        <f t="shared" si="28"/>
        <v>0.3</v>
      </c>
      <c r="L219" s="299">
        <f t="shared" si="28"/>
        <v>0.3</v>
      </c>
      <c r="M219" s="299">
        <f t="shared" si="28"/>
        <v>0.3</v>
      </c>
      <c r="N219" s="299">
        <f t="shared" si="28"/>
        <v>0.3</v>
      </c>
      <c r="O219" s="299">
        <f t="shared" si="28"/>
        <v>0.3</v>
      </c>
      <c r="P219" s="299">
        <f t="shared" si="28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27"/>
        <v>0</v>
      </c>
      <c r="C220" s="299">
        <v>0.4</v>
      </c>
      <c r="D220" s="299">
        <f t="shared" si="28"/>
        <v>0.4</v>
      </c>
      <c r="E220" s="299">
        <f t="shared" si="28"/>
        <v>0.4</v>
      </c>
      <c r="F220" s="299">
        <f t="shared" si="28"/>
        <v>0.4</v>
      </c>
      <c r="G220" s="299">
        <f t="shared" si="28"/>
        <v>0.4</v>
      </c>
      <c r="H220" s="299">
        <f t="shared" si="28"/>
        <v>0.4</v>
      </c>
      <c r="I220" s="299">
        <f t="shared" si="28"/>
        <v>0.4</v>
      </c>
      <c r="J220" s="299">
        <f t="shared" si="28"/>
        <v>0.4</v>
      </c>
      <c r="K220" s="299">
        <f t="shared" si="28"/>
        <v>0.4</v>
      </c>
      <c r="L220" s="299">
        <f t="shared" si="28"/>
        <v>0.4</v>
      </c>
      <c r="M220" s="299">
        <f t="shared" si="28"/>
        <v>0.4</v>
      </c>
      <c r="N220" s="299">
        <f t="shared" si="28"/>
        <v>0.4</v>
      </c>
      <c r="O220" s="299">
        <f t="shared" si="28"/>
        <v>0.4</v>
      </c>
      <c r="P220" s="299">
        <f t="shared" si="28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27"/>
        <v>0</v>
      </c>
      <c r="C221" s="303">
        <v>0.64</v>
      </c>
      <c r="D221" s="303">
        <f t="shared" si="28"/>
        <v>0.64</v>
      </c>
      <c r="E221" s="303">
        <f t="shared" si="28"/>
        <v>0.64</v>
      </c>
      <c r="F221" s="303">
        <f t="shared" si="28"/>
        <v>0.64</v>
      </c>
      <c r="G221" s="303">
        <f t="shared" si="28"/>
        <v>0.64</v>
      </c>
      <c r="H221" s="303">
        <f t="shared" si="28"/>
        <v>0.64</v>
      </c>
      <c r="I221" s="303">
        <f t="shared" si="28"/>
        <v>0.64</v>
      </c>
      <c r="J221" s="303">
        <f t="shared" si="28"/>
        <v>0.64</v>
      </c>
      <c r="K221" s="303">
        <f t="shared" si="28"/>
        <v>0.64</v>
      </c>
      <c r="L221" s="303">
        <f t="shared" si="28"/>
        <v>0.64</v>
      </c>
      <c r="M221" s="303">
        <f t="shared" si="28"/>
        <v>0.64</v>
      </c>
      <c r="N221" s="303">
        <f t="shared" si="28"/>
        <v>0.64</v>
      </c>
      <c r="O221" s="303">
        <f t="shared" si="28"/>
        <v>0.64</v>
      </c>
      <c r="P221" s="303">
        <f t="shared" si="28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29">SUM(D216:D221)</f>
        <v>3.54</v>
      </c>
      <c r="E222" s="307">
        <f t="shared" si="29"/>
        <v>3.54</v>
      </c>
      <c r="F222" s="307">
        <f t="shared" si="29"/>
        <v>3.54</v>
      </c>
      <c r="G222" s="307">
        <f t="shared" si="29"/>
        <v>3.54</v>
      </c>
      <c r="H222" s="307">
        <f t="shared" si="29"/>
        <v>3.54</v>
      </c>
      <c r="I222" s="307">
        <f t="shared" si="29"/>
        <v>3.54</v>
      </c>
      <c r="J222" s="307">
        <f t="shared" si="29"/>
        <v>3.54</v>
      </c>
      <c r="K222" s="307">
        <f t="shared" si="29"/>
        <v>3.54</v>
      </c>
      <c r="L222" s="307">
        <f t="shared" si="29"/>
        <v>3.54</v>
      </c>
      <c r="M222" s="307">
        <f>SUM(M216:M221)</f>
        <v>3.54</v>
      </c>
      <c r="N222" s="307">
        <f t="shared" ref="N222:S222" si="30">SUM(N216:N221)</f>
        <v>3.54</v>
      </c>
      <c r="O222" s="307">
        <f t="shared" si="30"/>
        <v>3.54</v>
      </c>
      <c r="P222" s="307">
        <f t="shared" si="30"/>
        <v>3.54</v>
      </c>
      <c r="Q222" s="307">
        <f t="shared" si="30"/>
        <v>0</v>
      </c>
      <c r="R222" s="307">
        <f t="shared" si="30"/>
        <v>0</v>
      </c>
      <c r="S222" s="307">
        <f t="shared" si="30"/>
        <v>0</v>
      </c>
      <c r="T222" s="307">
        <f>SUM(T216:T221)</f>
        <v>0</v>
      </c>
      <c r="U222" s="307">
        <f t="shared" ref="U222:AG222" si="31">SUM(U216:U221)</f>
        <v>0</v>
      </c>
      <c r="V222" s="307">
        <f t="shared" si="31"/>
        <v>0</v>
      </c>
      <c r="W222" s="307">
        <f t="shared" si="31"/>
        <v>0</v>
      </c>
      <c r="X222" s="307">
        <f t="shared" si="31"/>
        <v>0</v>
      </c>
      <c r="Y222" s="307">
        <f t="shared" si="31"/>
        <v>0</v>
      </c>
      <c r="Z222" s="307">
        <f t="shared" si="31"/>
        <v>0</v>
      </c>
      <c r="AA222" s="307">
        <f t="shared" si="31"/>
        <v>0</v>
      </c>
      <c r="AB222" s="307">
        <f t="shared" si="31"/>
        <v>0</v>
      </c>
      <c r="AC222" s="307">
        <f t="shared" si="31"/>
        <v>0</v>
      </c>
      <c r="AD222" s="307">
        <f t="shared" si="31"/>
        <v>0</v>
      </c>
      <c r="AE222" s="307">
        <f t="shared" si="31"/>
        <v>0</v>
      </c>
      <c r="AF222" s="307">
        <f t="shared" si="31"/>
        <v>0</v>
      </c>
      <c r="AG222" s="317">
        <f t="shared" si="31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1702.3400000000001</v>
      </c>
      <c r="C231" s="333">
        <f>INDEX(G9:N9,1,MATCH(MAX(G79:N79),G79:N79,0))</f>
        <v>0.33333333333333331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31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str">
        <f ca="1">"Pie Chart of Daily Peak Demand(Inclusive of Export) of Nepal ("&amp;A4&amp;" "&amp;B4&amp;")"</f>
        <v>Pie Chart of Daily Peak Demand(Inclusive of Export) of Nepal (Nepali Date: 2079/05/31)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str">
        <f ca="1">"Daily Load Curve(Excluding of Export) of Nepal ("&amp;A4&amp;" "&amp;B4&amp;")"</f>
        <v>Daily Load Curve(Excluding of Export) of Nepal (Nepali Date: 2079/05/31)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32">B79</f>
        <v>1644.04</v>
      </c>
      <c r="U236" s="343">
        <f t="shared" si="32"/>
        <v>1630.8400000000001</v>
      </c>
      <c r="V236" s="343">
        <f t="shared" si="32"/>
        <v>1630.8400000000001</v>
      </c>
      <c r="W236" s="343">
        <f t="shared" si="32"/>
        <v>1609.64</v>
      </c>
      <c r="X236" s="343">
        <f t="shared" si="32"/>
        <v>1576.74</v>
      </c>
      <c r="Y236" s="343">
        <f t="shared" si="32"/>
        <v>1576.74</v>
      </c>
      <c r="Z236" s="343">
        <f t="shared" si="32"/>
        <v>1577.14</v>
      </c>
      <c r="AA236" s="343">
        <f t="shared" si="32"/>
        <v>1567.74</v>
      </c>
      <c r="AB236" s="343">
        <f t="shared" si="32"/>
        <v>1567.74</v>
      </c>
      <c r="AC236" s="343">
        <f t="shared" si="32"/>
        <v>1582.29</v>
      </c>
      <c r="AD236" s="343">
        <f t="shared" si="32"/>
        <v>1655.23</v>
      </c>
      <c r="AE236" s="343">
        <f t="shared" si="32"/>
        <v>1702.3400000000001</v>
      </c>
      <c r="AF236" s="343">
        <f t="shared" si="32"/>
        <v>1701.8700000000001</v>
      </c>
      <c r="AG236" s="343">
        <f t="shared" si="32"/>
        <v>1569.6100000000001</v>
      </c>
      <c r="AH236" s="343">
        <f t="shared" si="32"/>
        <v>1641.64</v>
      </c>
      <c r="AI236" s="343">
        <f t="shared" si="32"/>
        <v>1641.99</v>
      </c>
      <c r="AJ236" s="343">
        <f t="shared" si="32"/>
        <v>1659.54</v>
      </c>
      <c r="AK236" s="343" t="e">
        <f t="shared" si="32"/>
        <v>#VALUE!</v>
      </c>
      <c r="AL236" s="343">
        <f t="shared" si="32"/>
        <v>1657.6399999999999</v>
      </c>
      <c r="AM236" s="343">
        <f t="shared" si="32"/>
        <v>1699.6399999999999</v>
      </c>
      <c r="AN236" s="343">
        <f t="shared" si="32"/>
        <v>1687.24</v>
      </c>
      <c r="AO236" s="343">
        <f t="shared" si="32"/>
        <v>1655.54</v>
      </c>
      <c r="AP236" s="343">
        <f t="shared" si="32"/>
        <v>1647.54</v>
      </c>
      <c r="AQ236" s="343">
        <f t="shared" si="32"/>
        <v>1741.44</v>
      </c>
      <c r="AR236" s="343">
        <f t="shared" si="32"/>
        <v>1745.44</v>
      </c>
      <c r="AS236" s="343">
        <f t="shared" si="32"/>
        <v>1739.44</v>
      </c>
      <c r="AT236" s="343">
        <f t="shared" si="32"/>
        <v>1740.44</v>
      </c>
      <c r="AU236" s="343">
        <f t="shared" si="32"/>
        <v>1740.44</v>
      </c>
      <c r="AV236" s="343">
        <f t="shared" si="32"/>
        <v>1727.44</v>
      </c>
      <c r="AW236" s="343">
        <f t="shared" si="32"/>
        <v>1602.6399999999999</v>
      </c>
      <c r="AX236" s="343">
        <f t="shared" si="32"/>
        <v>1432.6399999999999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33">C221</f>
        <v>0.64</v>
      </c>
      <c r="C257" s="346">
        <f t="shared" si="33"/>
        <v>0.64</v>
      </c>
      <c r="D257" s="346">
        <f t="shared" si="33"/>
        <v>0.64</v>
      </c>
      <c r="E257" s="346">
        <f t="shared" si="33"/>
        <v>0.64</v>
      </c>
      <c r="F257" s="346">
        <f t="shared" si="33"/>
        <v>0.64</v>
      </c>
      <c r="G257" s="346">
        <f t="shared" si="33"/>
        <v>0.64</v>
      </c>
      <c r="H257" s="346">
        <f t="shared" si="33"/>
        <v>0.64</v>
      </c>
      <c r="I257" s="346">
        <f t="shared" si="33"/>
        <v>0.64</v>
      </c>
      <c r="J257" s="346">
        <f t="shared" si="33"/>
        <v>0.64</v>
      </c>
      <c r="K257" s="346">
        <f t="shared" si="33"/>
        <v>0.64</v>
      </c>
      <c r="L257" s="346">
        <f t="shared" si="33"/>
        <v>0.64</v>
      </c>
      <c r="M257" s="346">
        <f t="shared" si="33"/>
        <v>0.64</v>
      </c>
      <c r="N257" s="346">
        <f t="shared" si="33"/>
        <v>0.64</v>
      </c>
      <c r="O257" s="346">
        <f t="shared" si="33"/>
        <v>0.64</v>
      </c>
      <c r="P257" s="346">
        <f t="shared" si="33"/>
        <v>0</v>
      </c>
      <c r="Q257" s="346">
        <f t="shared" si="33"/>
        <v>0</v>
      </c>
      <c r="R257" s="346">
        <f t="shared" si="33"/>
        <v>0</v>
      </c>
      <c r="S257" s="346">
        <f t="shared" si="33"/>
        <v>0</v>
      </c>
      <c r="T257" s="346">
        <f t="shared" si="33"/>
        <v>0</v>
      </c>
      <c r="U257" s="346">
        <f t="shared" si="33"/>
        <v>0</v>
      </c>
      <c r="V257" s="346">
        <f t="shared" si="33"/>
        <v>0</v>
      </c>
      <c r="W257" s="346">
        <f t="shared" si="33"/>
        <v>0</v>
      </c>
      <c r="X257" s="346">
        <f t="shared" si="33"/>
        <v>0</v>
      </c>
      <c r="Y257" s="346">
        <f t="shared" si="33"/>
        <v>0</v>
      </c>
      <c r="Z257" s="346">
        <f t="shared" si="33"/>
        <v>0</v>
      </c>
      <c r="AA257" s="346">
        <f t="shared" si="33"/>
        <v>0</v>
      </c>
      <c r="AB257" s="346">
        <f t="shared" si="33"/>
        <v>0</v>
      </c>
      <c r="AC257" s="346">
        <f t="shared" si="33"/>
        <v>0</v>
      </c>
      <c r="AD257" s="346">
        <f t="shared" si="33"/>
        <v>0</v>
      </c>
      <c r="AE257" s="346">
        <f t="shared" si="33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34">IF(C225&lt;100,"",C225-520)</f>
        <v/>
      </c>
      <c r="D258" s="347" t="str">
        <f t="shared" si="34"/>
        <v/>
      </c>
      <c r="E258" s="347" t="str">
        <f t="shared" si="34"/>
        <v/>
      </c>
      <c r="F258" s="347" t="str">
        <f t="shared" si="34"/>
        <v/>
      </c>
      <c r="G258" s="347" t="str">
        <f t="shared" si="34"/>
        <v/>
      </c>
      <c r="H258" s="347" t="str">
        <f t="shared" si="34"/>
        <v/>
      </c>
      <c r="I258" s="347" t="str">
        <f t="shared" si="34"/>
        <v/>
      </c>
      <c r="J258" s="347" t="str">
        <f t="shared" si="34"/>
        <v/>
      </c>
      <c r="K258" s="347" t="str">
        <f t="shared" si="34"/>
        <v/>
      </c>
      <c r="L258" s="347" t="str">
        <f t="shared" si="34"/>
        <v/>
      </c>
      <c r="M258" s="347" t="str">
        <f t="shared" si="34"/>
        <v/>
      </c>
      <c r="N258" s="347" t="str">
        <f t="shared" si="34"/>
        <v/>
      </c>
      <c r="O258" s="347" t="str">
        <f t="shared" si="34"/>
        <v/>
      </c>
      <c r="P258" s="347" t="str">
        <f t="shared" si="34"/>
        <v/>
      </c>
      <c r="Q258" s="347" t="str">
        <f t="shared" si="34"/>
        <v/>
      </c>
      <c r="R258" s="347" t="str">
        <f t="shared" si="34"/>
        <v/>
      </c>
      <c r="S258" s="347" t="str">
        <f t="shared" si="34"/>
        <v/>
      </c>
      <c r="T258" s="347" t="str">
        <f t="shared" si="34"/>
        <v/>
      </c>
      <c r="U258" s="347" t="str">
        <f t="shared" si="34"/>
        <v/>
      </c>
      <c r="V258" s="347" t="str">
        <f t="shared" si="34"/>
        <v/>
      </c>
      <c r="W258" s="347" t="str">
        <f t="shared" si="34"/>
        <v/>
      </c>
      <c r="X258" s="347" t="str">
        <f t="shared" si="34"/>
        <v/>
      </c>
      <c r="Y258" s="347" t="str">
        <f t="shared" si="34"/>
        <v/>
      </c>
      <c r="Z258" s="347" t="str">
        <f t="shared" si="34"/>
        <v/>
      </c>
      <c r="AA258" s="347" t="str">
        <f t="shared" si="34"/>
        <v/>
      </c>
      <c r="AB258" s="347" t="str">
        <f t="shared" si="34"/>
        <v/>
      </c>
      <c r="AC258" s="347" t="str">
        <f t="shared" si="34"/>
        <v/>
      </c>
      <c r="AD258" s="347" t="str">
        <f t="shared" si="34"/>
        <v/>
      </c>
      <c r="AE258" s="347" t="str">
        <f t="shared" si="34"/>
        <v/>
      </c>
      <c r="AF258" s="347" t="str">
        <f t="shared" si="34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35">IF(B226&lt;100,"",B226-620)</f>
        <v/>
      </c>
      <c r="C259" s="347" t="str">
        <f t="shared" si="35"/>
        <v/>
      </c>
      <c r="D259" s="347" t="str">
        <f t="shared" si="35"/>
        <v/>
      </c>
      <c r="E259" s="347" t="str">
        <f t="shared" si="35"/>
        <v/>
      </c>
      <c r="F259" s="347" t="str">
        <f t="shared" si="35"/>
        <v/>
      </c>
      <c r="G259" s="347" t="str">
        <f t="shared" si="35"/>
        <v/>
      </c>
      <c r="H259" s="347" t="str">
        <f t="shared" si="35"/>
        <v/>
      </c>
      <c r="I259" s="347" t="str">
        <f t="shared" si="35"/>
        <v/>
      </c>
      <c r="J259" s="347" t="str">
        <f t="shared" si="35"/>
        <v/>
      </c>
      <c r="K259" s="347" t="str">
        <f t="shared" si="35"/>
        <v/>
      </c>
      <c r="L259" s="347" t="str">
        <f t="shared" si="35"/>
        <v/>
      </c>
      <c r="M259" s="347" t="str">
        <f t="shared" si="35"/>
        <v/>
      </c>
      <c r="N259" s="347" t="str">
        <f t="shared" si="35"/>
        <v/>
      </c>
      <c r="O259" s="347" t="str">
        <f t="shared" si="35"/>
        <v/>
      </c>
      <c r="P259" s="347" t="str">
        <f t="shared" si="35"/>
        <v/>
      </c>
      <c r="Q259" s="347" t="str">
        <f t="shared" si="35"/>
        <v/>
      </c>
      <c r="R259" s="347" t="str">
        <f t="shared" si="35"/>
        <v/>
      </c>
      <c r="S259" s="347" t="str">
        <f t="shared" si="35"/>
        <v/>
      </c>
      <c r="T259" s="347" t="str">
        <f t="shared" si="35"/>
        <v/>
      </c>
      <c r="U259" s="347" t="str">
        <f t="shared" si="35"/>
        <v/>
      </c>
      <c r="V259" s="347" t="str">
        <f t="shared" si="35"/>
        <v/>
      </c>
      <c r="W259" s="347" t="str">
        <f t="shared" si="35"/>
        <v/>
      </c>
      <c r="X259" s="347" t="str">
        <f t="shared" si="35"/>
        <v/>
      </c>
      <c r="Y259" s="347" t="str">
        <f t="shared" si="35"/>
        <v/>
      </c>
      <c r="Z259" s="347" t="str">
        <f t="shared" si="35"/>
        <v/>
      </c>
      <c r="AA259" s="347" t="str">
        <f t="shared" si="35"/>
        <v/>
      </c>
      <c r="AB259" s="347" t="str">
        <f t="shared" si="35"/>
        <v/>
      </c>
      <c r="AC259" s="347" t="str">
        <f t="shared" si="35"/>
        <v/>
      </c>
      <c r="AD259" s="347" t="str">
        <f t="shared" si="35"/>
        <v/>
      </c>
      <c r="AE259" s="347" t="str">
        <f t="shared" si="35"/>
        <v/>
      </c>
      <c r="AF259" s="347" t="str">
        <f t="shared" si="35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36">IF(B227&lt;100,"",B227-330)</f>
        <v/>
      </c>
      <c r="C260" s="347" t="str">
        <f t="shared" si="36"/>
        <v/>
      </c>
      <c r="D260" s="347" t="str">
        <f t="shared" si="36"/>
        <v/>
      </c>
      <c r="E260" s="347" t="str">
        <f t="shared" si="36"/>
        <v/>
      </c>
      <c r="F260" s="347" t="str">
        <f t="shared" si="36"/>
        <v/>
      </c>
      <c r="G260" s="347" t="str">
        <f t="shared" si="36"/>
        <v/>
      </c>
      <c r="H260" s="347" t="str">
        <f t="shared" si="36"/>
        <v/>
      </c>
      <c r="I260" s="347" t="str">
        <f t="shared" si="36"/>
        <v/>
      </c>
      <c r="J260" s="347" t="str">
        <f t="shared" si="36"/>
        <v/>
      </c>
      <c r="K260" s="347" t="str">
        <f t="shared" si="36"/>
        <v/>
      </c>
      <c r="L260" s="347" t="str">
        <f t="shared" si="36"/>
        <v/>
      </c>
      <c r="M260" s="347" t="str">
        <f t="shared" si="36"/>
        <v/>
      </c>
      <c r="N260" s="347" t="str">
        <f t="shared" si="36"/>
        <v/>
      </c>
      <c r="O260" s="347" t="str">
        <f t="shared" si="36"/>
        <v/>
      </c>
      <c r="P260" s="347" t="str">
        <f t="shared" si="36"/>
        <v/>
      </c>
      <c r="Q260" s="347" t="str">
        <f t="shared" si="36"/>
        <v/>
      </c>
      <c r="R260" s="347" t="str">
        <f t="shared" si="36"/>
        <v/>
      </c>
      <c r="S260" s="347" t="str">
        <f t="shared" si="36"/>
        <v/>
      </c>
      <c r="T260" s="347" t="str">
        <f t="shared" si="36"/>
        <v/>
      </c>
      <c r="U260" s="347" t="str">
        <f t="shared" si="36"/>
        <v/>
      </c>
      <c r="V260" s="347" t="str">
        <f t="shared" si="36"/>
        <v/>
      </c>
      <c r="W260" s="347" t="str">
        <f t="shared" si="36"/>
        <v/>
      </c>
      <c r="X260" s="347" t="str">
        <f t="shared" si="36"/>
        <v/>
      </c>
      <c r="Y260" s="347" t="str">
        <f t="shared" si="36"/>
        <v/>
      </c>
      <c r="Z260" s="347" t="str">
        <f t="shared" si="36"/>
        <v/>
      </c>
      <c r="AA260" s="347" t="str">
        <f t="shared" si="36"/>
        <v/>
      </c>
      <c r="AB260" s="347" t="str">
        <f t="shared" si="36"/>
        <v/>
      </c>
      <c r="AC260" s="347" t="str">
        <f t="shared" si="36"/>
        <v/>
      </c>
      <c r="AD260" s="347" t="str">
        <f t="shared" si="36"/>
        <v/>
      </c>
      <c r="AE260" s="347" t="str">
        <f t="shared" si="36"/>
        <v/>
      </c>
      <c r="AF260" s="347" t="str">
        <f t="shared" si="36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37">IF(C228&lt;100,"",C228-1500)</f>
        <v/>
      </c>
      <c r="D261" s="347" t="str">
        <f t="shared" si="37"/>
        <v/>
      </c>
      <c r="E261" s="347" t="str">
        <f t="shared" si="37"/>
        <v/>
      </c>
      <c r="F261" s="347" t="str">
        <f t="shared" si="37"/>
        <v/>
      </c>
      <c r="G261" s="347" t="str">
        <f t="shared" si="37"/>
        <v/>
      </c>
      <c r="H261" s="347" t="str">
        <f t="shared" si="37"/>
        <v/>
      </c>
      <c r="I261" s="347" t="str">
        <f t="shared" si="37"/>
        <v/>
      </c>
      <c r="J261" s="347" t="str">
        <f t="shared" si="37"/>
        <v/>
      </c>
      <c r="K261" s="347" t="str">
        <f t="shared" si="37"/>
        <v/>
      </c>
      <c r="L261" s="347" t="str">
        <f t="shared" si="37"/>
        <v/>
      </c>
      <c r="M261" s="347" t="str">
        <f t="shared" si="37"/>
        <v/>
      </c>
      <c r="N261" s="347" t="str">
        <f t="shared" si="37"/>
        <v/>
      </c>
      <c r="O261" s="347" t="str">
        <f t="shared" si="37"/>
        <v/>
      </c>
      <c r="P261" s="347" t="str">
        <f t="shared" si="37"/>
        <v/>
      </c>
      <c r="Q261" s="347" t="str">
        <f t="shared" si="37"/>
        <v/>
      </c>
      <c r="R261" s="347" t="str">
        <f t="shared" si="37"/>
        <v/>
      </c>
      <c r="S261" s="347" t="str">
        <f t="shared" si="37"/>
        <v/>
      </c>
      <c r="T261" s="347" t="str">
        <f t="shared" si="37"/>
        <v/>
      </c>
      <c r="U261" s="347" t="str">
        <f t="shared" si="37"/>
        <v/>
      </c>
      <c r="V261" s="347" t="str">
        <f t="shared" si="37"/>
        <v/>
      </c>
      <c r="W261" s="347" t="str">
        <f t="shared" si="37"/>
        <v/>
      </c>
      <c r="X261" s="347" t="str">
        <f t="shared" si="37"/>
        <v/>
      </c>
      <c r="Y261" s="347" t="str">
        <f t="shared" si="37"/>
        <v/>
      </c>
      <c r="Z261" s="347" t="str">
        <f t="shared" si="37"/>
        <v/>
      </c>
      <c r="AA261" s="347" t="str">
        <f t="shared" si="37"/>
        <v/>
      </c>
      <c r="AB261" s="347" t="str">
        <f t="shared" si="37"/>
        <v/>
      </c>
      <c r="AC261" s="347" t="str">
        <f t="shared" si="37"/>
        <v/>
      </c>
      <c r="AD261" s="347" t="str">
        <f t="shared" si="37"/>
        <v/>
      </c>
      <c r="AE261" s="347" t="str">
        <f t="shared" si="37"/>
        <v/>
      </c>
      <c r="AF261" s="347" t="str">
        <f t="shared" si="37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7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B9:AF10 C99:AF99 C101:AF106 Z11:AF11">
    <cfRule type="expression" dxfId="817" priority="333">
      <formula>B$9&gt;=20/24</formula>
    </cfRule>
    <cfRule type="expression" dxfId="816" priority="334">
      <formula>AND(B$9&gt;=14/24,B$9&lt;20/24)</formula>
    </cfRule>
    <cfRule type="expression" dxfId="815" priority="335">
      <formula>AND(B$9&gt;=8/24,B$9&lt;14/24)</formula>
    </cfRule>
    <cfRule type="expression" dxfId="814" priority="336">
      <formula>B$9&lt;8/24</formula>
    </cfRule>
  </conditionalFormatting>
  <conditionalFormatting sqref="AL4:AL6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S37 Y37:AF37">
    <cfRule type="expression" dxfId="813" priority="328">
      <formula>S$9&gt;=20/24</formula>
    </cfRule>
    <cfRule type="expression" dxfId="812" priority="329">
      <formula>AND(S$9&gt;=14/24,S$9&lt;20/24)</formula>
    </cfRule>
    <cfRule type="expression" dxfId="811" priority="330">
      <formula>AND(S$9&gt;=8/24,S$9&lt;14/24)</formula>
    </cfRule>
    <cfRule type="expression" dxfId="810" priority="331">
      <formula>S$9&lt;8/24</formula>
    </cfRule>
  </conditionalFormatting>
  <conditionalFormatting sqref="AG55 S37 S11:S16 B12:R16 B35:S35 Y15:Z15 Z11:Z14 Z16 Y37:AF37 Z35:AF35 AA11:AF16">
    <cfRule type="expression" dxfId="809" priority="327">
      <formula>B11&gt;$AG11</formula>
    </cfRule>
  </conditionalFormatting>
  <conditionalFormatting sqref="A89:A99 A11:A14 A49:A76 A85:A87 A192:A222 A16:A30 A36:A47 A108:A179 A32:A33 A81:A83 A78:A79 A101:A103">
    <cfRule type="expression" dxfId="808" priority="326">
      <formula>$AH11=0</formula>
    </cfRule>
  </conditionalFormatting>
  <conditionalFormatting sqref="A104">
    <cfRule type="expression" dxfId="807" priority="325">
      <formula>$AH104=0</formula>
    </cfRule>
  </conditionalFormatting>
  <conditionalFormatting sqref="AL33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806" priority="323">
      <formula>$AH35=0</formula>
    </cfRule>
  </conditionalFormatting>
  <conditionalFormatting sqref="A88">
    <cfRule type="expression" dxfId="805" priority="322">
      <formula>$AH88=0</formula>
    </cfRule>
  </conditionalFormatting>
  <conditionalFormatting sqref="A15">
    <cfRule type="expression" dxfId="804" priority="321">
      <formula>$AH15=0</formula>
    </cfRule>
  </conditionalFormatting>
  <conditionalFormatting sqref="A186:A191">
    <cfRule type="expression" dxfId="803" priority="320">
      <formula>$AH186=0</formula>
    </cfRule>
  </conditionalFormatting>
  <conditionalFormatting sqref="A180:A185">
    <cfRule type="expression" dxfId="802" priority="319">
      <formula>$AH180=0</formula>
    </cfRule>
  </conditionalFormatting>
  <conditionalFormatting sqref="A48">
    <cfRule type="expression" dxfId="801" priority="318">
      <formula>$AH48=0</formula>
    </cfRule>
  </conditionalFormatting>
  <conditionalFormatting sqref="A84">
    <cfRule type="expression" dxfId="800" priority="317">
      <formula>$AH84=0</formula>
    </cfRule>
  </conditionalFormatting>
  <conditionalFormatting sqref="C89:T89 W89:Y89 AC89:AF89">
    <cfRule type="expression" dxfId="799" priority="313">
      <formula>C$9&gt;=20/24</formula>
    </cfRule>
    <cfRule type="expression" dxfId="798" priority="314">
      <formula>AND(C$9&gt;=14/24,C$9&lt;20/24)</formula>
    </cfRule>
    <cfRule type="expression" dxfId="797" priority="315">
      <formula>AND(C$9&gt;=8/24,C$9&lt;14/24)</formula>
    </cfRule>
    <cfRule type="expression" dxfId="796" priority="316">
      <formula>C$9&lt;8/24</formula>
    </cfRule>
  </conditionalFormatting>
  <conditionalFormatting sqref="AL34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95" priority="339">
      <formula>C$9&gt;=20/24</formula>
    </cfRule>
    <cfRule type="expression" dxfId="794" priority="340">
      <formula>AND(C$9&gt;=14/24,C$9&lt;20/24)</formula>
    </cfRule>
    <cfRule type="expression" dxfId="793" priority="341">
      <formula>AND(C$9&gt;=8/24,C$9&lt;14/24)</formula>
    </cfRule>
    <cfRule type="expression" dxfId="792" priority="342">
      <formula>C$9&lt;8/24</formula>
    </cfRule>
  </conditionalFormatting>
  <conditionalFormatting sqref="A223">
    <cfRule type="expression" dxfId="791" priority="343">
      <formula>$AH223=0</formula>
    </cfRule>
  </conditionalFormatting>
  <conditionalFormatting sqref="AG235">
    <cfRule type="expression" dxfId="790" priority="344">
      <formula>B$9&gt;=20/24</formula>
    </cfRule>
    <cfRule type="expression" dxfId="789" priority="345">
      <formula>AND(B$9&gt;=14/24,B$9&lt;20/24)</formula>
    </cfRule>
    <cfRule type="expression" dxfId="788" priority="346">
      <formula>AND(B$9&gt;=8/24,B$9&lt;14/24)</formula>
    </cfRule>
    <cfRule type="expression" dxfId="787" priority="347">
      <formula>B$9&lt;8/24</formula>
    </cfRule>
  </conditionalFormatting>
  <conditionalFormatting sqref="S8">
    <cfRule type="expression" dxfId="786" priority="308">
      <formula>U$9&gt;=20/24</formula>
    </cfRule>
    <cfRule type="expression" dxfId="785" priority="309">
      <formula>AND(U$9&gt;=14/24,U$9&lt;20/24)</formula>
    </cfRule>
    <cfRule type="expression" dxfId="784" priority="310">
      <formula>AND(U$9&gt;=8/24,U$9&lt;14/24)</formula>
    </cfRule>
    <cfRule type="expression" dxfId="783" priority="311">
      <formula>U$9&lt;8/24</formula>
    </cfRule>
  </conditionalFormatting>
  <conditionalFormatting sqref="AB8">
    <cfRule type="expression" dxfId="782" priority="304">
      <formula>AD$9&gt;=20/24</formula>
    </cfRule>
    <cfRule type="expression" dxfId="781" priority="305">
      <formula>AND(AD$9&gt;=14/24,AD$9&lt;20/24)</formula>
    </cfRule>
    <cfRule type="expression" dxfId="780" priority="306">
      <formula>AND(AD$9&gt;=8/24,AD$9&lt;14/24)</formula>
    </cfRule>
    <cfRule type="expression" dxfId="779" priority="307">
      <formula>AD$9&lt;8/24</formula>
    </cfRule>
  </conditionalFormatting>
  <conditionalFormatting sqref="AH235:AX235">
    <cfRule type="expression" dxfId="778" priority="348">
      <formula>AG$9&gt;=20/24</formula>
    </cfRule>
    <cfRule type="expression" dxfId="777" priority="349">
      <formula>AND(AG$9&gt;=14/24,AG$9&lt;20/24)</formula>
    </cfRule>
    <cfRule type="expression" dxfId="776" priority="350">
      <formula>AND(AG$9&gt;=8/24,AG$9&lt;14/24)</formula>
    </cfRule>
    <cfRule type="expression" dxfId="775" priority="351">
      <formula>AG$9&lt;8/24</formula>
    </cfRule>
  </conditionalFormatting>
  <conditionalFormatting sqref="T235">
    <cfRule type="expression" dxfId="774" priority="352">
      <formula>AX$9&gt;=20/24</formula>
    </cfRule>
    <cfRule type="expression" dxfId="773" priority="353">
      <formula>AND(AX$9&gt;=14/24,AX$9&lt;20/24)</formula>
    </cfRule>
    <cfRule type="expression" dxfId="772" priority="354">
      <formula>AND(AX$9&gt;=8/24,AX$9&lt;14/24)</formula>
    </cfRule>
    <cfRule type="expression" dxfId="771" priority="355">
      <formula>AX$9&lt;8/24</formula>
    </cfRule>
  </conditionalFormatting>
  <conditionalFormatting sqref="A105:A106">
    <cfRule type="expression" dxfId="770" priority="303">
      <formula>$AH105=0</formula>
    </cfRule>
  </conditionalFormatting>
  <conditionalFormatting sqref="S44:S45 E44:L45 E61:S61 W44:AF45 W61:AF61 Z36:AF36">
    <cfRule type="expression" dxfId="769" priority="299">
      <formula>E$9&gt;=20/24</formula>
    </cfRule>
    <cfRule type="expression" dxfId="768" priority="300">
      <formula>AND(E$9&gt;=14/24,E$9&lt;20/24)</formula>
    </cfRule>
    <cfRule type="expression" dxfId="767" priority="301">
      <formula>AND(E$9&gt;=8/24,E$9&lt;14/24)</formula>
    </cfRule>
    <cfRule type="expression" dxfId="766" priority="302">
      <formula>E$9&lt;8/24</formula>
    </cfRule>
  </conditionalFormatting>
  <conditionalFormatting sqref="S43 E43:L43 W43:AF43">
    <cfRule type="expression" dxfId="765" priority="295">
      <formula>E$9&gt;=20/24</formula>
    </cfRule>
    <cfRule type="expression" dxfId="764" priority="296">
      <formula>AND(E$9&gt;=14/24,E$9&lt;20/24)</formula>
    </cfRule>
    <cfRule type="expression" dxfId="763" priority="297">
      <formula>AND(E$9&gt;=8/24,E$9&lt;14/24)</formula>
    </cfRule>
    <cfRule type="expression" dxfId="762" priority="298">
      <formula>E$9&lt;8/24</formula>
    </cfRule>
  </conditionalFormatting>
  <conditionalFormatting sqref="S43:S45 E43:L45 W43:AF45 Z36:AF36">
    <cfRule type="expression" dxfId="761" priority="294">
      <formula>E36&gt;$AG36</formula>
    </cfRule>
  </conditionalFormatting>
  <conditionalFormatting sqref="S36 C86:AF86 S12:S14 S16 S18:S22 S24:S26 S28:S32 M64:M71 E64:L67 E71:L71 E62:M63 C90:T96 N62:S71 M37:R37 Y36 Y25:Z25 W90:Y96 Z24 Z26 AE90:AF96 AF62:AF71 C73:AF76 W62:AE63 Z12:AF14 Z16:AF16 Z18:AF22 Z28:AF28 AA24:AF26 C57:AF59 Z30:AF32 AF29">
    <cfRule type="expression" dxfId="760" priority="290">
      <formula>C$9&gt;=20/24</formula>
    </cfRule>
    <cfRule type="expression" dxfId="759" priority="291">
      <formula>AND(C$9&gt;=14/24,C$9&lt;20/24)</formula>
    </cfRule>
    <cfRule type="expression" dxfId="758" priority="292">
      <formula>AND(C$9&gt;=8/24,C$9&lt;14/24)</formula>
    </cfRule>
    <cfRule type="expression" dxfId="757" priority="293">
      <formula>C$9&lt;8/24</formula>
    </cfRule>
  </conditionalFormatting>
  <conditionalFormatting sqref="S33 Z33:AF33">
    <cfRule type="expression" dxfId="756" priority="286">
      <formula>S$9&gt;=20/24</formula>
    </cfRule>
    <cfRule type="expression" dxfId="755" priority="287">
      <formula>AND(S$9&gt;=14/24,S$9&lt;20/24)</formula>
    </cfRule>
    <cfRule type="expression" dxfId="754" priority="288">
      <formula>AND(S$9&gt;=8/24,S$9&lt;14/24)</formula>
    </cfRule>
    <cfRule type="expression" dxfId="753" priority="289">
      <formula>S$9&lt;8/24</formula>
    </cfRule>
  </conditionalFormatting>
  <conditionalFormatting sqref="S36 AF46 S18:S22 C55:AF55 S24:S33 E46:J47 K46:L48 E37:R37 Y36 Y25:Z25 Z24 Z26:Z28 Z18:AF22 AA24:AF28 C57:AF59 AF29 Z30:AF33">
    <cfRule type="expression" dxfId="752" priority="285">
      <formula>C18&gt;$AG18</formula>
    </cfRule>
  </conditionalFormatting>
  <conditionalFormatting sqref="S35 Z35:AF35">
    <cfRule type="expression" dxfId="751" priority="281">
      <formula>S$9&gt;=20/24</formula>
    </cfRule>
    <cfRule type="expression" dxfId="750" priority="282">
      <formula>AND(S$9&gt;=14/24,S$9&lt;20/24)</formula>
    </cfRule>
    <cfRule type="expression" dxfId="749" priority="283">
      <formula>AND(S$9&gt;=8/24,S$9&lt;14/24)</formula>
    </cfRule>
    <cfRule type="expression" dxfId="748" priority="284">
      <formula>S$9&lt;8/24</formula>
    </cfRule>
  </conditionalFormatting>
  <conditionalFormatting sqref="S15 Y15:AF15">
    <cfRule type="expression" dxfId="747" priority="277">
      <formula>S$9&gt;=20/24</formula>
    </cfRule>
    <cfRule type="expression" dxfId="746" priority="278">
      <formula>AND(S$9&gt;=14/24,S$9&lt;20/24)</formula>
    </cfRule>
    <cfRule type="expression" dxfId="745" priority="279">
      <formula>AND(S$9&gt;=8/24,S$9&lt;14/24)</formula>
    </cfRule>
    <cfRule type="expression" dxfId="744" priority="280">
      <formula>S$9&lt;8/24</formula>
    </cfRule>
  </conditionalFormatting>
  <conditionalFormatting sqref="S34 Z34:AF34">
    <cfRule type="expression" dxfId="743" priority="273">
      <formula>S$9&gt;=20/24</formula>
    </cfRule>
    <cfRule type="expression" dxfId="742" priority="274">
      <formula>AND(S$9&gt;=14/24,S$9&lt;20/24)</formula>
    </cfRule>
    <cfRule type="expression" dxfId="741" priority="275">
      <formula>AND(S$9&gt;=8/24,S$9&lt;14/24)</formula>
    </cfRule>
    <cfRule type="expression" dxfId="740" priority="276">
      <formula>S$9&lt;8/24</formula>
    </cfRule>
  </conditionalFormatting>
  <conditionalFormatting sqref="S34 Z34:AF34">
    <cfRule type="expression" dxfId="739" priority="272">
      <formula>S34&gt;$AG34</formula>
    </cfRule>
  </conditionalFormatting>
  <conditionalFormatting sqref="S11">
    <cfRule type="expression" dxfId="738" priority="268">
      <formula>S$9&gt;=20/24</formula>
    </cfRule>
    <cfRule type="expression" dxfId="737" priority="269">
      <formula>AND(S$9&gt;=14/24,S$9&lt;20/24)</formula>
    </cfRule>
    <cfRule type="expression" dxfId="736" priority="270">
      <formula>AND(S$9&gt;=8/24,S$9&lt;14/24)</formula>
    </cfRule>
    <cfRule type="expression" dxfId="735" priority="271">
      <formula>S$9&lt;8/24</formula>
    </cfRule>
  </conditionalFormatting>
  <conditionalFormatting sqref="W46:AE46">
    <cfRule type="expression" dxfId="734" priority="264">
      <formula>W$9&gt;=20/24</formula>
    </cfRule>
    <cfRule type="expression" dxfId="733" priority="265">
      <formula>AND(W$9&gt;=14/24,W$9&lt;20/24)</formula>
    </cfRule>
    <cfRule type="expression" dxfId="732" priority="266">
      <formula>AND(W$9&gt;=8/24,W$9&lt;14/24)</formula>
    </cfRule>
    <cfRule type="expression" dxfId="731" priority="267">
      <formula>W$9&lt;8/24</formula>
    </cfRule>
  </conditionalFormatting>
  <conditionalFormatting sqref="W46:AE46">
    <cfRule type="expression" dxfId="730" priority="263">
      <formula>W46&gt;$AG46</formula>
    </cfRule>
  </conditionalFormatting>
  <conditionalFormatting sqref="S46:S54 M43:R54">
    <cfRule type="expression" dxfId="729" priority="259">
      <formula>M$9&gt;=20/24</formula>
    </cfRule>
    <cfRule type="expression" dxfId="728" priority="260">
      <formula>AND(M$9&gt;=14/24,M$9&lt;20/24)</formula>
    </cfRule>
    <cfRule type="expression" dxfId="727" priority="261">
      <formula>AND(M$9&gt;=8/24,M$9&lt;14/24)</formula>
    </cfRule>
    <cfRule type="expression" dxfId="726" priority="262">
      <formula>M$9&lt;8/24</formula>
    </cfRule>
  </conditionalFormatting>
  <conditionalFormatting sqref="S46:S54 M43:R54">
    <cfRule type="expression" dxfId="725" priority="258">
      <formula>M43&gt;$AG43</formula>
    </cfRule>
  </conditionalFormatting>
  <conditionalFormatting sqref="S27 Z27:AF27">
    <cfRule type="expression" dxfId="724" priority="254">
      <formula>S$9&gt;=20/24</formula>
    </cfRule>
    <cfRule type="expression" dxfId="723" priority="255">
      <formula>AND(S$9&gt;=14/24,S$9&lt;20/24)</formula>
    </cfRule>
    <cfRule type="expression" dxfId="722" priority="256">
      <formula>AND(S$9&gt;=8/24,S$9&lt;14/24)</formula>
    </cfRule>
    <cfRule type="expression" dxfId="721" priority="257">
      <formula>S$9&lt;8/24</formula>
    </cfRule>
  </conditionalFormatting>
  <conditionalFormatting sqref="S17 S23 Z17:AF17 Z23:AF23">
    <cfRule type="expression" dxfId="720" priority="250">
      <formula>S$9&gt;=20/24</formula>
    </cfRule>
    <cfRule type="expression" dxfId="719" priority="251">
      <formula>AND(S$9&gt;=14/24,S$9&lt;20/24)</formula>
    </cfRule>
    <cfRule type="expression" dxfId="718" priority="252">
      <formula>AND(S$9&gt;=8/24,S$9&lt;14/24)</formula>
    </cfRule>
    <cfRule type="expression" dxfId="717" priority="253">
      <formula>S$9&lt;8/24</formula>
    </cfRule>
  </conditionalFormatting>
  <conditionalFormatting sqref="S17 S23 Z17:AF17 Z23:AF23">
    <cfRule type="expression" dxfId="716" priority="245">
      <formula>S17&gt;$AG17</formula>
    </cfRule>
  </conditionalFormatting>
  <conditionalFormatting sqref="E68:L70">
    <cfRule type="expression" dxfId="715" priority="219">
      <formula>E$9&gt;=20/24</formula>
    </cfRule>
    <cfRule type="expression" dxfId="714" priority="220">
      <formula>AND(E$9&gt;=14/24,E$9&lt;20/24)</formula>
    </cfRule>
    <cfRule type="expression" dxfId="713" priority="221">
      <formula>AND(E$9&gt;=8/24,E$9&lt;14/24)</formula>
    </cfRule>
    <cfRule type="expression" dxfId="712" priority="222">
      <formula>E$9&lt;8/24</formula>
    </cfRule>
  </conditionalFormatting>
  <conditionalFormatting sqref="E48:J54 K49:L54">
    <cfRule type="expression" dxfId="711" priority="214">
      <formula>E$9&gt;=20/24</formula>
    </cfRule>
    <cfRule type="expression" dxfId="710" priority="215">
      <formula>AND(E$9&gt;=14/24,E$9&lt;20/24)</formula>
    </cfRule>
    <cfRule type="expression" dxfId="709" priority="216">
      <formula>AND(E$9&gt;=8/24,E$9&lt;14/24)</formula>
    </cfRule>
    <cfRule type="expression" dxfId="708" priority="217">
      <formula>E$9&lt;8/24</formula>
    </cfRule>
  </conditionalFormatting>
  <conditionalFormatting sqref="E48:J54 K49:L54">
    <cfRule type="expression" dxfId="707" priority="213">
      <formula>E48&gt;$AG48</formula>
    </cfRule>
  </conditionalFormatting>
  <conditionalFormatting sqref="B99 B78:AF78 B87:AF87 B101:B106 B11:R11">
    <cfRule type="expression" dxfId="706" priority="200">
      <formula>B$9&gt;=20/24</formula>
    </cfRule>
    <cfRule type="expression" dxfId="705" priority="201">
      <formula>AND(B$9&gt;=14/24,B$9&lt;20/24)</formula>
    </cfRule>
    <cfRule type="expression" dxfId="704" priority="202">
      <formula>AND(B$9&gt;=8/24,B$9&lt;14/24)</formula>
    </cfRule>
    <cfRule type="expression" dxfId="703" priority="203">
      <formula>B$9&lt;8/24</formula>
    </cfRule>
  </conditionalFormatting>
  <conditionalFormatting sqref="B37:D37">
    <cfRule type="expression" dxfId="702" priority="196">
      <formula>B$9&gt;=20/24</formula>
    </cfRule>
    <cfRule type="expression" dxfId="701" priority="197">
      <formula>AND(B$9&gt;=14/24,B$9&lt;20/24)</formula>
    </cfRule>
    <cfRule type="expression" dxfId="700" priority="198">
      <formula>AND(B$9&gt;=8/24,B$9&lt;14/24)</formula>
    </cfRule>
    <cfRule type="expression" dxfId="699" priority="199">
      <formula>B$9&lt;8/24</formula>
    </cfRule>
  </conditionalFormatting>
  <conditionalFormatting sqref="B37:D37 B11:R11">
    <cfRule type="expression" dxfId="698" priority="195">
      <formula>B11&gt;$AG11</formula>
    </cfRule>
  </conditionalFormatting>
  <conditionalFormatting sqref="B89">
    <cfRule type="expression" dxfId="697" priority="191">
      <formula>B$9&gt;=20/24</formula>
    </cfRule>
    <cfRule type="expression" dxfId="696" priority="192">
      <formula>AND(B$9&gt;=14/24,B$9&lt;20/24)</formula>
    </cfRule>
    <cfRule type="expression" dxfId="695" priority="193">
      <formula>AND(B$9&gt;=8/24,B$9&lt;14/24)</formula>
    </cfRule>
    <cfRule type="expression" dxfId="694" priority="194">
      <formula>B$9&lt;8/24</formula>
    </cfRule>
  </conditionalFormatting>
  <conditionalFormatting sqref="B44:D45 B61:D61 B36:R36">
    <cfRule type="expression" dxfId="693" priority="187">
      <formula>B$9&gt;=20/24</formula>
    </cfRule>
    <cfRule type="expression" dxfId="692" priority="188">
      <formula>AND(B$9&gt;=14/24,B$9&lt;20/24)</formula>
    </cfRule>
    <cfRule type="expression" dxfId="691" priority="189">
      <formula>AND(B$9&gt;=8/24,B$9&lt;14/24)</formula>
    </cfRule>
    <cfRule type="expression" dxfId="690" priority="190">
      <formula>B$9&lt;8/24</formula>
    </cfRule>
  </conditionalFormatting>
  <conditionalFormatting sqref="B43:D43">
    <cfRule type="expression" dxfId="689" priority="183">
      <formula>B$9&gt;=20/24</formula>
    </cfRule>
    <cfRule type="expression" dxfId="688" priority="184">
      <formula>AND(B$9&gt;=14/24,B$9&lt;20/24)</formula>
    </cfRule>
    <cfRule type="expression" dxfId="687" priority="185">
      <formula>AND(B$9&gt;=8/24,B$9&lt;14/24)</formula>
    </cfRule>
    <cfRule type="expression" dxfId="686" priority="186">
      <formula>B$9&lt;8/24</formula>
    </cfRule>
  </conditionalFormatting>
  <conditionalFormatting sqref="B43:D45 B36:R36">
    <cfRule type="expression" dxfId="685" priority="182">
      <formula>B36&gt;$AG36</formula>
    </cfRule>
  </conditionalFormatting>
  <conditionalFormatting sqref="B90:B96 B57:B60 B73:B77 B79:AF79 B86 C60:AG60 C77:AG77 B88:AF88 B62:D71 B12:R14 B16:R16 B18:R22 B28:R32 B24:R26">
    <cfRule type="expression" dxfId="684" priority="178">
      <formula>B$9&gt;=20/24</formula>
    </cfRule>
    <cfRule type="expression" dxfId="683" priority="179">
      <formula>AND(B$9&gt;=14/24,B$9&lt;20/24)</formula>
    </cfRule>
    <cfRule type="expression" dxfId="682" priority="180">
      <formula>AND(B$9&gt;=8/24,B$9&lt;14/24)</formula>
    </cfRule>
    <cfRule type="expression" dxfId="681" priority="181">
      <formula>B$9&lt;8/24</formula>
    </cfRule>
  </conditionalFormatting>
  <conditionalFormatting sqref="B33:R33">
    <cfRule type="expression" dxfId="680" priority="174">
      <formula>B$9&gt;=20/24</formula>
    </cfRule>
    <cfRule type="expression" dxfId="679" priority="175">
      <formula>AND(B$9&gt;=14/24,B$9&lt;20/24)</formula>
    </cfRule>
    <cfRule type="expression" dxfId="678" priority="176">
      <formula>AND(B$9&gt;=8/24,B$9&lt;14/24)</formula>
    </cfRule>
    <cfRule type="expression" dxfId="677" priority="177">
      <formula>B$9&lt;8/24</formula>
    </cfRule>
  </conditionalFormatting>
  <conditionalFormatting sqref="B55:B60 B38:AG38 C56:AG56 C60:AG60 B46:D47 B18:R22 B24:R33">
    <cfRule type="expression" dxfId="676" priority="173">
      <formula>B18&gt;$AG18</formula>
    </cfRule>
  </conditionalFormatting>
  <conditionalFormatting sqref="B35:R35">
    <cfRule type="expression" dxfId="675" priority="169">
      <formula>B$9&gt;=20/24</formula>
    </cfRule>
    <cfRule type="expression" dxfId="674" priority="170">
      <formula>AND(B$9&gt;=14/24,B$9&lt;20/24)</formula>
    </cfRule>
    <cfRule type="expression" dxfId="673" priority="171">
      <formula>AND(B$9&gt;=8/24,B$9&lt;14/24)</formula>
    </cfRule>
    <cfRule type="expression" dxfId="672" priority="172">
      <formula>B$9&lt;8/24</formula>
    </cfRule>
  </conditionalFormatting>
  <conditionalFormatting sqref="B15:R15">
    <cfRule type="expression" dxfId="671" priority="165">
      <formula>B$9&gt;=20/24</formula>
    </cfRule>
    <cfRule type="expression" dxfId="670" priority="166">
      <formula>AND(B$9&gt;=14/24,B$9&lt;20/24)</formula>
    </cfRule>
    <cfRule type="expression" dxfId="669" priority="167">
      <formula>AND(B$9&gt;=8/24,B$9&lt;14/24)</formula>
    </cfRule>
    <cfRule type="expression" dxfId="668" priority="168">
      <formula>B$9&lt;8/24</formula>
    </cfRule>
  </conditionalFormatting>
  <conditionalFormatting sqref="B34:R34">
    <cfRule type="expression" dxfId="667" priority="161">
      <formula>B$9&gt;=20/24</formula>
    </cfRule>
    <cfRule type="expression" dxfId="666" priority="162">
      <formula>AND(B$9&gt;=14/24,B$9&lt;20/24)</formula>
    </cfRule>
    <cfRule type="expression" dxfId="665" priority="163">
      <formula>AND(B$9&gt;=8/24,B$9&lt;14/24)</formula>
    </cfRule>
    <cfRule type="expression" dxfId="664" priority="164">
      <formula>B$9&lt;8/24</formula>
    </cfRule>
  </conditionalFormatting>
  <conditionalFormatting sqref="B34:R34">
    <cfRule type="expression" dxfId="663" priority="160">
      <formula>B34&gt;$AG34</formula>
    </cfRule>
  </conditionalFormatting>
  <conditionalFormatting sqref="B48:D54">
    <cfRule type="expression" dxfId="662" priority="156">
      <formula>B$9&gt;=20/24</formula>
    </cfRule>
    <cfRule type="expression" dxfId="661" priority="157">
      <formula>AND(B$9&gt;=14/24,B$9&lt;20/24)</formula>
    </cfRule>
    <cfRule type="expression" dxfId="660" priority="158">
      <formula>AND(B$9&gt;=8/24,B$9&lt;14/24)</formula>
    </cfRule>
    <cfRule type="expression" dxfId="659" priority="159">
      <formula>B$9&lt;8/24</formula>
    </cfRule>
  </conditionalFormatting>
  <conditionalFormatting sqref="B48:D54">
    <cfRule type="expression" dxfId="658" priority="155">
      <formula>B48&gt;$AG48</formula>
    </cfRule>
  </conditionalFormatting>
  <conditionalFormatting sqref="B27:R27">
    <cfRule type="expression" dxfId="657" priority="151">
      <formula>B$9&gt;=20/24</formula>
    </cfRule>
    <cfRule type="expression" dxfId="656" priority="152">
      <formula>AND(B$9&gt;=14/24,B$9&lt;20/24)</formula>
    </cfRule>
    <cfRule type="expression" dxfId="655" priority="153">
      <formula>AND(B$9&gt;=8/24,B$9&lt;14/24)</formula>
    </cfRule>
    <cfRule type="expression" dxfId="654" priority="154">
      <formula>B$9&lt;8/24</formula>
    </cfRule>
  </conditionalFormatting>
  <conditionalFormatting sqref="B17:R17 B23:R23">
    <cfRule type="expression" dxfId="653" priority="147">
      <formula>B$9&gt;=20/24</formula>
    </cfRule>
    <cfRule type="expression" dxfId="652" priority="148">
      <formula>AND(B$9&gt;=14/24,B$9&lt;20/24)</formula>
    </cfRule>
    <cfRule type="expression" dxfId="651" priority="149">
      <formula>AND(B$9&gt;=8/24,B$9&lt;14/24)</formula>
    </cfRule>
    <cfRule type="expression" dxfId="650" priority="150">
      <formula>B$9&lt;8/24</formula>
    </cfRule>
  </conditionalFormatting>
  <conditionalFormatting sqref="B17:R17 B23:R23">
    <cfRule type="expression" dxfId="649" priority="146">
      <formula>B17&gt;$AG17</formula>
    </cfRule>
  </conditionalFormatting>
  <conditionalFormatting sqref="A34">
    <cfRule type="expression" dxfId="648" priority="145">
      <formula>$AH34=0</formula>
    </cfRule>
  </conditionalFormatting>
  <conditionalFormatting sqref="B72:AF72">
    <cfRule type="expression" dxfId="647" priority="141">
      <formula>B$9&gt;=20/24</formula>
    </cfRule>
    <cfRule type="expression" dxfId="646" priority="142">
      <formula>AND(B$9&gt;=14/24,B$9&lt;20/24)</formula>
    </cfRule>
    <cfRule type="expression" dxfId="645" priority="143">
      <formula>AND(B$9&gt;=8/24,B$9&lt;14/24)</formula>
    </cfRule>
    <cfRule type="expression" dxfId="644" priority="144">
      <formula>B$9&lt;8/24</formula>
    </cfRule>
  </conditionalFormatting>
  <conditionalFormatting sqref="B81:AF85">
    <cfRule type="expression" dxfId="643" priority="137">
      <formula>B$9&gt;=20/24</formula>
    </cfRule>
    <cfRule type="expression" dxfId="642" priority="138">
      <formula>AND(B$9&gt;=14/24,B$9&lt;20/24)</formula>
    </cfRule>
    <cfRule type="expression" dxfId="641" priority="139">
      <formula>AND(B$9&gt;=8/24,B$9&lt;14/24)</formula>
    </cfRule>
    <cfRule type="expression" dxfId="640" priority="140">
      <formula>B$9&lt;8/24</formula>
    </cfRule>
  </conditionalFormatting>
  <conditionalFormatting sqref="AL35 AL7:AL30 AL32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E39:AF41">
    <cfRule type="expression" dxfId="639" priority="133">
      <formula>E$9&gt;=20/24</formula>
    </cfRule>
    <cfRule type="expression" dxfId="638" priority="134">
      <formula>AND(E$9&gt;=14/24,E$9&lt;20/24)</formula>
    </cfRule>
    <cfRule type="expression" dxfId="637" priority="135">
      <formula>AND(E$9&gt;=8/24,E$9&lt;14/24)</formula>
    </cfRule>
    <cfRule type="expression" dxfId="636" priority="136">
      <formula>E$9&lt;8/24</formula>
    </cfRule>
  </conditionalFormatting>
  <conditionalFormatting sqref="E39:AF41">
    <cfRule type="expression" dxfId="635" priority="132">
      <formula>E39&gt;$AG39</formula>
    </cfRule>
  </conditionalFormatting>
  <conditionalFormatting sqref="B39:B42 C42:AG42 C39:D41">
    <cfRule type="expression" dxfId="634" priority="128">
      <formula>B$9&gt;=20/24</formula>
    </cfRule>
    <cfRule type="expression" dxfId="633" priority="129">
      <formula>AND(B$9&gt;=14/24,B$9&lt;20/24)</formula>
    </cfRule>
    <cfRule type="expression" dxfId="632" priority="130">
      <formula>AND(B$9&gt;=8/24,B$9&lt;14/24)</formula>
    </cfRule>
    <cfRule type="expression" dxfId="631" priority="131">
      <formula>B$9&lt;8/24</formula>
    </cfRule>
  </conditionalFormatting>
  <conditionalFormatting sqref="B39:B42 C42:AG42 C39:D41">
    <cfRule type="expression" dxfId="630" priority="127">
      <formula>B39&gt;$AG39</formula>
    </cfRule>
  </conditionalFormatting>
  <conditionalFormatting sqref="C97:AF97">
    <cfRule type="expression" dxfId="629" priority="123">
      <formula>C$9&gt;=20/24</formula>
    </cfRule>
    <cfRule type="expression" dxfId="628" priority="124">
      <formula>AND(C$9&gt;=14/24,C$9&lt;20/24)</formula>
    </cfRule>
    <cfRule type="expression" dxfId="627" priority="125">
      <formula>AND(C$9&gt;=8/24,C$9&lt;14/24)</formula>
    </cfRule>
    <cfRule type="expression" dxfId="626" priority="126">
      <formula>C$9&lt;8/24</formula>
    </cfRule>
  </conditionalFormatting>
  <conditionalFormatting sqref="B97">
    <cfRule type="expression" dxfId="625" priority="119">
      <formula>B$9&gt;=20/24</formula>
    </cfRule>
    <cfRule type="expression" dxfId="624" priority="120">
      <formula>AND(B$9&gt;=14/24,B$9&lt;20/24)</formula>
    </cfRule>
    <cfRule type="expression" dxfId="623" priority="121">
      <formula>AND(B$9&gt;=8/24,B$9&lt;14/24)</formula>
    </cfRule>
    <cfRule type="expression" dxfId="622" priority="122">
      <formula>B$9&lt;8/24</formula>
    </cfRule>
  </conditionalFormatting>
  <conditionalFormatting sqref="AL31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621" priority="113">
      <formula>$AH31=0</formula>
    </cfRule>
  </conditionalFormatting>
  <conditionalFormatting sqref="A80">
    <cfRule type="expression" dxfId="620" priority="111">
      <formula>$AH80=0</formula>
    </cfRule>
  </conditionalFormatting>
  <conditionalFormatting sqref="A77">
    <cfRule type="expression" dxfId="619" priority="112">
      <formula>$AH77=0</formula>
    </cfRule>
  </conditionalFormatting>
  <conditionalFormatting sqref="A107">
    <cfRule type="expression" dxfId="618" priority="102">
      <formula>$AH107=0</formula>
    </cfRule>
  </conditionalFormatting>
  <conditionalFormatting sqref="C100:AF100">
    <cfRule type="expression" dxfId="617" priority="98">
      <formula>C$9&gt;=20/24</formula>
    </cfRule>
    <cfRule type="expression" dxfId="616" priority="99">
      <formula>AND(C$9&gt;=14/24,C$9&lt;20/24)</formula>
    </cfRule>
    <cfRule type="expression" dxfId="615" priority="100">
      <formula>AND(C$9&gt;=8/24,C$9&lt;14/24)</formula>
    </cfRule>
    <cfRule type="expression" dxfId="614" priority="101">
      <formula>C$9&lt;8/24</formula>
    </cfRule>
  </conditionalFormatting>
  <conditionalFormatting sqref="A100">
    <cfRule type="expression" dxfId="613" priority="97">
      <formula>$AH100=0</formula>
    </cfRule>
  </conditionalFormatting>
  <conditionalFormatting sqref="B100">
    <cfRule type="expression" dxfId="612" priority="93">
      <formula>B$9&gt;=20/24</formula>
    </cfRule>
    <cfRule type="expression" dxfId="611" priority="94">
      <formula>AND(B$9&gt;=14/24,B$9&lt;20/24)</formula>
    </cfRule>
    <cfRule type="expression" dxfId="610" priority="95">
      <formula>AND(B$9&gt;=8/24,B$9&lt;14/24)</formula>
    </cfRule>
    <cfRule type="expression" dxfId="609" priority="96">
      <formula>B$9&lt;8/24</formula>
    </cfRule>
  </conditionalFormatting>
  <conditionalFormatting sqref="T12:X16 Y12:Y14 Y16 T35:Y35">
    <cfRule type="expression" dxfId="608" priority="92">
      <formula>T12&gt;$AG12</formula>
    </cfRule>
  </conditionalFormatting>
  <conditionalFormatting sqref="T37:X37">
    <cfRule type="expression" dxfId="607" priority="88">
      <formula>T$9&gt;=20/24</formula>
    </cfRule>
    <cfRule type="expression" dxfId="606" priority="89">
      <formula>AND(T$9&gt;=14/24,T$9&lt;20/24)</formula>
    </cfRule>
    <cfRule type="expression" dxfId="605" priority="90">
      <formula>AND(T$9&gt;=8/24,T$9&lt;14/24)</formula>
    </cfRule>
    <cfRule type="expression" dxfId="604" priority="91">
      <formula>T$9&lt;8/24</formula>
    </cfRule>
  </conditionalFormatting>
  <conditionalFormatting sqref="T37:X37">
    <cfRule type="expression" dxfId="603" priority="87">
      <formula>T37&gt;$AG37</formula>
    </cfRule>
  </conditionalFormatting>
  <conditionalFormatting sqref="T11:Y11">
    <cfRule type="expression" dxfId="602" priority="83">
      <formula>T$9&gt;=20/24</formula>
    </cfRule>
    <cfRule type="expression" dxfId="601" priority="84">
      <formula>AND(T$9&gt;=14/24,T$9&lt;20/24)</formula>
    </cfRule>
    <cfRule type="expression" dxfId="600" priority="85">
      <formula>AND(T$9&gt;=8/24,T$9&lt;14/24)</formula>
    </cfRule>
    <cfRule type="expression" dxfId="599" priority="86">
      <formula>T$9&lt;8/24</formula>
    </cfRule>
  </conditionalFormatting>
  <conditionalFormatting sqref="T11:Y11">
    <cfRule type="expression" dxfId="598" priority="82">
      <formula>T11&gt;$AG11</formula>
    </cfRule>
  </conditionalFormatting>
  <conditionalFormatting sqref="T36:X36">
    <cfRule type="expression" dxfId="597" priority="78">
      <formula>T$9&gt;=20/24</formula>
    </cfRule>
    <cfRule type="expression" dxfId="596" priority="79">
      <formula>AND(T$9&gt;=14/24,T$9&lt;20/24)</formula>
    </cfRule>
    <cfRule type="expression" dxfId="595" priority="80">
      <formula>AND(T$9&gt;=8/24,T$9&lt;14/24)</formula>
    </cfRule>
    <cfRule type="expression" dxfId="594" priority="81">
      <formula>T$9&lt;8/24</formula>
    </cfRule>
  </conditionalFormatting>
  <conditionalFormatting sqref="T36:X36">
    <cfRule type="expression" dxfId="593" priority="77">
      <formula>T36&gt;$AG36</formula>
    </cfRule>
  </conditionalFormatting>
  <conditionalFormatting sqref="T24:X26 T12:Y14 T16:Y16 T18:Y22 Y24 T28:Y32 Y26 Z29:AE29">
    <cfRule type="expression" dxfId="592" priority="73">
      <formula>T$9&gt;=20/24</formula>
    </cfRule>
    <cfRule type="expression" dxfId="591" priority="74">
      <formula>AND(T$9&gt;=14/24,T$9&lt;20/24)</formula>
    </cfRule>
    <cfRule type="expression" dxfId="590" priority="75">
      <formula>AND(T$9&gt;=8/24,T$9&lt;14/24)</formula>
    </cfRule>
    <cfRule type="expression" dxfId="589" priority="76">
      <formula>T$9&lt;8/24</formula>
    </cfRule>
  </conditionalFormatting>
  <conditionalFormatting sqref="T33:Y33">
    <cfRule type="expression" dxfId="588" priority="69">
      <formula>T$9&gt;=20/24</formula>
    </cfRule>
    <cfRule type="expression" dxfId="587" priority="70">
      <formula>AND(T$9&gt;=14/24,T$9&lt;20/24)</formula>
    </cfRule>
    <cfRule type="expression" dxfId="586" priority="71">
      <formula>AND(T$9&gt;=8/24,T$9&lt;14/24)</formula>
    </cfRule>
    <cfRule type="expression" dxfId="585" priority="72">
      <formula>T$9&lt;8/24</formula>
    </cfRule>
  </conditionalFormatting>
  <conditionalFormatting sqref="T24:X33 T18:Y22 Y24 Y26:Y33 Z29:AE29">
    <cfRule type="expression" dxfId="584" priority="68">
      <formula>T18&gt;$AG18</formula>
    </cfRule>
  </conditionalFormatting>
  <conditionalFormatting sqref="T35:Y35">
    <cfRule type="expression" dxfId="583" priority="64">
      <formula>T$9&gt;=20/24</formula>
    </cfRule>
    <cfRule type="expression" dxfId="582" priority="65">
      <formula>AND(T$9&gt;=14/24,T$9&lt;20/24)</formula>
    </cfRule>
    <cfRule type="expression" dxfId="581" priority="66">
      <formula>AND(T$9&gt;=8/24,T$9&lt;14/24)</formula>
    </cfRule>
    <cfRule type="expression" dxfId="580" priority="67">
      <formula>T$9&lt;8/24</formula>
    </cfRule>
  </conditionalFormatting>
  <conditionalFormatting sqref="T15:X15">
    <cfRule type="expression" dxfId="579" priority="60">
      <formula>T$9&gt;=20/24</formula>
    </cfRule>
    <cfRule type="expression" dxfId="578" priority="61">
      <formula>AND(T$9&gt;=14/24,T$9&lt;20/24)</formula>
    </cfRule>
    <cfRule type="expression" dxfId="577" priority="62">
      <formula>AND(T$9&gt;=8/24,T$9&lt;14/24)</formula>
    </cfRule>
    <cfRule type="expression" dxfId="576" priority="63">
      <formula>T$9&lt;8/24</formula>
    </cfRule>
  </conditionalFormatting>
  <conditionalFormatting sqref="T34:Y34">
    <cfRule type="expression" dxfId="575" priority="56">
      <formula>T$9&gt;=20/24</formula>
    </cfRule>
    <cfRule type="expression" dxfId="574" priority="57">
      <formula>AND(T$9&gt;=14/24,T$9&lt;20/24)</formula>
    </cfRule>
    <cfRule type="expression" dxfId="573" priority="58">
      <formula>AND(T$9&gt;=8/24,T$9&lt;14/24)</formula>
    </cfRule>
    <cfRule type="expression" dxfId="572" priority="59">
      <formula>T$9&lt;8/24</formula>
    </cfRule>
  </conditionalFormatting>
  <conditionalFormatting sqref="T34:Y34">
    <cfRule type="expression" dxfId="571" priority="55">
      <formula>T34&gt;$AG34</formula>
    </cfRule>
  </conditionalFormatting>
  <conditionalFormatting sqref="T27:Y27">
    <cfRule type="expression" dxfId="570" priority="51">
      <formula>T$9&gt;=20/24</formula>
    </cfRule>
    <cfRule type="expression" dxfId="569" priority="52">
      <formula>AND(T$9&gt;=14/24,T$9&lt;20/24)</formula>
    </cfRule>
    <cfRule type="expression" dxfId="568" priority="53">
      <formula>AND(T$9&gt;=8/24,T$9&lt;14/24)</formula>
    </cfRule>
    <cfRule type="expression" dxfId="567" priority="54">
      <formula>T$9&lt;8/24</formula>
    </cfRule>
  </conditionalFormatting>
  <conditionalFormatting sqref="T17:Y17 T23:Y23">
    <cfRule type="expression" dxfId="566" priority="47">
      <formula>T$9&gt;=20/24</formula>
    </cfRule>
    <cfRule type="expression" dxfId="565" priority="48">
      <formula>AND(T$9&gt;=14/24,T$9&lt;20/24)</formula>
    </cfRule>
    <cfRule type="expression" dxfId="564" priority="49">
      <formula>AND(T$9&gt;=8/24,T$9&lt;14/24)</formula>
    </cfRule>
    <cfRule type="expression" dxfId="563" priority="50">
      <formula>T$9&lt;8/24</formula>
    </cfRule>
  </conditionalFormatting>
  <conditionalFormatting sqref="T17:Y17 T23:Y23">
    <cfRule type="expression" dxfId="562" priority="46">
      <formula>T17&gt;$AG17</formula>
    </cfRule>
  </conditionalFormatting>
  <conditionalFormatting sqref="T43:V54 W47:AF54">
    <cfRule type="expression" dxfId="561" priority="42">
      <formula>T$9&gt;=20/24</formula>
    </cfRule>
    <cfRule type="expression" dxfId="560" priority="43">
      <formula>AND(T$9&gt;=14/24,T$9&lt;20/24)</formula>
    </cfRule>
    <cfRule type="expression" dxfId="559" priority="44">
      <formula>AND(T$9&gt;=8/24,T$9&lt;14/24)</formula>
    </cfRule>
    <cfRule type="expression" dxfId="558" priority="45">
      <formula>T$9&lt;8/24</formula>
    </cfRule>
  </conditionalFormatting>
  <conditionalFormatting sqref="T43:V54 W47:AF54">
    <cfRule type="expression" dxfId="557" priority="41">
      <formula>T43&gt;$AG43</formula>
    </cfRule>
  </conditionalFormatting>
  <conditionalFormatting sqref="T61:V61">
    <cfRule type="expression" dxfId="556" priority="37">
      <formula>T$9&gt;=20/24</formula>
    </cfRule>
    <cfRule type="expression" dxfId="555" priority="38">
      <formula>AND(T$9&gt;=14/24,T$9&lt;20/24)</formula>
    </cfRule>
    <cfRule type="expression" dxfId="554" priority="39">
      <formula>AND(T$9&gt;=8/24,T$9&lt;14/24)</formula>
    </cfRule>
    <cfRule type="expression" dxfId="553" priority="40">
      <formula>T$9&lt;8/24</formula>
    </cfRule>
  </conditionalFormatting>
  <conditionalFormatting sqref="T62:V71 W64:AE71">
    <cfRule type="expression" dxfId="552" priority="33">
      <formula>T$9&gt;=20/24</formula>
    </cfRule>
    <cfRule type="expression" dxfId="551" priority="34">
      <formula>AND(T$9&gt;=14/24,T$9&lt;20/24)</formula>
    </cfRule>
    <cfRule type="expression" dxfId="550" priority="35">
      <formula>AND(T$9&gt;=8/24,T$9&lt;14/24)</formula>
    </cfRule>
    <cfRule type="expression" dxfId="549" priority="36">
      <formula>T$9&lt;8/24</formula>
    </cfRule>
  </conditionalFormatting>
  <conditionalFormatting sqref="U89">
    <cfRule type="expression" dxfId="548" priority="29">
      <formula>U$9&gt;=20/24</formula>
    </cfRule>
    <cfRule type="expression" dxfId="547" priority="30">
      <formula>AND(U$9&gt;=14/24,U$9&lt;20/24)</formula>
    </cfRule>
    <cfRule type="expression" dxfId="546" priority="31">
      <formula>AND(U$9&gt;=8/24,U$9&lt;14/24)</formula>
    </cfRule>
    <cfRule type="expression" dxfId="545" priority="32">
      <formula>U$9&lt;8/24</formula>
    </cfRule>
  </conditionalFormatting>
  <conditionalFormatting sqref="U90:U96">
    <cfRule type="expression" dxfId="544" priority="25">
      <formula>U$9&gt;=20/24</formula>
    </cfRule>
    <cfRule type="expression" dxfId="543" priority="26">
      <formula>AND(U$9&gt;=14/24,U$9&lt;20/24)</formula>
    </cfRule>
    <cfRule type="expression" dxfId="542" priority="27">
      <formula>AND(U$9&gt;=8/24,U$9&lt;14/24)</formula>
    </cfRule>
    <cfRule type="expression" dxfId="541" priority="28">
      <formula>U$9&lt;8/24</formula>
    </cfRule>
  </conditionalFormatting>
  <conditionalFormatting sqref="V89">
    <cfRule type="expression" dxfId="540" priority="21">
      <formula>V$9&gt;=20/24</formula>
    </cfRule>
    <cfRule type="expression" dxfId="539" priority="22">
      <formula>AND(V$9&gt;=14/24,V$9&lt;20/24)</formula>
    </cfRule>
    <cfRule type="expression" dxfId="538" priority="23">
      <formula>AND(V$9&gt;=8/24,V$9&lt;14/24)</formula>
    </cfRule>
    <cfRule type="expression" dxfId="537" priority="24">
      <formula>V$9&lt;8/24</formula>
    </cfRule>
  </conditionalFormatting>
  <conditionalFormatting sqref="V90:V96">
    <cfRule type="expression" dxfId="536" priority="17">
      <formula>V$9&gt;=20/24</formula>
    </cfRule>
    <cfRule type="expression" dxfId="535" priority="18">
      <formula>AND(V$9&gt;=14/24,V$9&lt;20/24)</formula>
    </cfRule>
    <cfRule type="expression" dxfId="534" priority="19">
      <formula>AND(V$9&gt;=8/24,V$9&lt;14/24)</formula>
    </cfRule>
    <cfRule type="expression" dxfId="533" priority="20">
      <formula>V$9&lt;8/24</formula>
    </cfRule>
  </conditionalFormatting>
  <conditionalFormatting sqref="Z89">
    <cfRule type="expression" dxfId="532" priority="13">
      <formula>Z$9&gt;=20/24</formula>
    </cfRule>
    <cfRule type="expression" dxfId="531" priority="14">
      <formula>AND(Z$9&gt;=14/24,Z$9&lt;20/24)</formula>
    </cfRule>
    <cfRule type="expression" dxfId="530" priority="15">
      <formula>AND(Z$9&gt;=8/24,Z$9&lt;14/24)</formula>
    </cfRule>
    <cfRule type="expression" dxfId="529" priority="16">
      <formula>Z$9&lt;8/24</formula>
    </cfRule>
  </conditionalFormatting>
  <conditionalFormatting sqref="Z90:Z96">
    <cfRule type="expression" dxfId="528" priority="9">
      <formula>Z$9&gt;=20/24</formula>
    </cfRule>
    <cfRule type="expression" dxfId="527" priority="10">
      <formula>AND(Z$9&gt;=14/24,Z$9&lt;20/24)</formula>
    </cfRule>
    <cfRule type="expression" dxfId="526" priority="11">
      <formula>AND(Z$9&gt;=8/24,Z$9&lt;14/24)</formula>
    </cfRule>
    <cfRule type="expression" dxfId="525" priority="12">
      <formula>Z$9&lt;8/24</formula>
    </cfRule>
  </conditionalFormatting>
  <conditionalFormatting sqref="AA89:AB89">
    <cfRule type="expression" dxfId="524" priority="5">
      <formula>AA$9&gt;=20/24</formula>
    </cfRule>
    <cfRule type="expression" dxfId="523" priority="6">
      <formula>AND(AA$9&gt;=14/24,AA$9&lt;20/24)</formula>
    </cfRule>
    <cfRule type="expression" dxfId="522" priority="7">
      <formula>AND(AA$9&gt;=8/24,AA$9&lt;14/24)</formula>
    </cfRule>
    <cfRule type="expression" dxfId="521" priority="8">
      <formula>AA$9&lt;8/24</formula>
    </cfRule>
  </conditionalFormatting>
  <conditionalFormatting sqref="AA90:AD96">
    <cfRule type="expression" dxfId="520" priority="1">
      <formula>AA$9&gt;=20/24</formula>
    </cfRule>
    <cfRule type="expression" dxfId="519" priority="2">
      <formula>AND(AA$9&gt;=14/24,AA$9&lt;20/24)</formula>
    </cfRule>
    <cfRule type="expression" dxfId="518" priority="3">
      <formula>AND(AA$9&gt;=8/24,AA$9&lt;14/24)</formula>
    </cfRule>
    <cfRule type="expression" dxfId="517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4" id="{F66EC7EF-DF36-4095-902C-096538672A8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5" id="{5B5497D5-D684-4DF0-95A1-E68A0370C93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6" id="{DD426638-36E3-4CB5-B570-3C4A0EB251A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7" id="{AA47698B-8FCB-438D-9110-D42A7A3CBF6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07" id="{EC532DE8-431A-4989-AD7C-B9F2217A173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8" id="{52AF8A23-2E17-4558-B078-692A09BD43C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9" id="{E744FF7B-172F-43C3-AAA3-DAE1600BB2C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0" id="{EFE91B99-C1D9-40A5-9FD2-C5B7B9188DF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103" id="{D66396A3-B8CC-4B9A-9A57-276152A808A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4" id="{8E3CB0D8-300D-4CA4-93D1-E82230FBD67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5" id="{B0692087-01FB-4A30-BBA7-9683D7FEBA3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6" id="{34A4DDC3-D845-46E5-96B7-4E03C623432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9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45" sqref="AK45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e">
        <f ca="1">"2079/"&amp;"05/"&amp;INT(MID(CELL("filename",D6),FIND("]",CELL("filename",D6))+1,200))</f>
        <v>#VALUE!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0</v>
      </c>
      <c r="AA5" s="205">
        <f t="shared" si="0"/>
        <v>0</v>
      </c>
      <c r="AB5" s="205">
        <f t="shared" si="0"/>
        <v>0</v>
      </c>
      <c r="AC5" s="205">
        <f t="shared" si="0"/>
        <v>0</v>
      </c>
      <c r="AD5" s="205">
        <f t="shared" si="0"/>
        <v>0</v>
      </c>
      <c r="AE5" s="205">
        <f t="shared" si="0"/>
        <v>0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4MW at 4:60hr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Load=4</v>
      </c>
      <c r="B7" s="210">
        <f>B79</f>
        <v>1464.14</v>
      </c>
      <c r="C7" s="210">
        <f t="shared" ref="C7:AF7" si="1">C79</f>
        <v>1468.04</v>
      </c>
      <c r="D7" s="210">
        <f t="shared" si="1"/>
        <v>1460.04</v>
      </c>
      <c r="E7" s="210">
        <f t="shared" si="1"/>
        <v>3.54</v>
      </c>
      <c r="F7" s="210">
        <f t="shared" si="1"/>
        <v>3.54</v>
      </c>
      <c r="G7" s="210">
        <f t="shared" si="1"/>
        <v>3.54</v>
      </c>
      <c r="H7" s="210">
        <f t="shared" si="1"/>
        <v>3.54</v>
      </c>
      <c r="I7" s="210">
        <f t="shared" si="1"/>
        <v>3.54</v>
      </c>
      <c r="J7" s="210">
        <f t="shared" si="1"/>
        <v>3.54</v>
      </c>
      <c r="K7" s="210">
        <f t="shared" si="1"/>
        <v>3.54</v>
      </c>
      <c r="L7" s="210">
        <f t="shared" si="1"/>
        <v>3.54</v>
      </c>
      <c r="M7" s="210">
        <f t="shared" si="1"/>
        <v>3.54</v>
      </c>
      <c r="N7" s="210">
        <f t="shared" si="1"/>
        <v>3.54</v>
      </c>
      <c r="O7" s="210">
        <f t="shared" si="1"/>
        <v>3.54</v>
      </c>
      <c r="P7" s="210">
        <f t="shared" si="1"/>
        <v>3.54</v>
      </c>
      <c r="Q7" s="210">
        <f t="shared" si="1"/>
        <v>3.54</v>
      </c>
      <c r="R7" s="210">
        <f t="shared" si="1"/>
        <v>3.54</v>
      </c>
      <c r="S7" s="210">
        <f t="shared" si="1"/>
        <v>3.54</v>
      </c>
      <c r="T7" s="210">
        <f t="shared" si="1"/>
        <v>3.54</v>
      </c>
      <c r="U7" s="210">
        <f t="shared" si="1"/>
        <v>3.54</v>
      </c>
      <c r="V7" s="210">
        <f t="shared" si="1"/>
        <v>3.54</v>
      </c>
      <c r="W7" s="210">
        <f t="shared" si="1"/>
        <v>3.54</v>
      </c>
      <c r="X7" s="210">
        <f t="shared" si="1"/>
        <v>3.54</v>
      </c>
      <c r="Y7" s="210">
        <f t="shared" si="1"/>
        <v>3.54</v>
      </c>
      <c r="Z7" s="210">
        <f t="shared" si="1"/>
        <v>3.54</v>
      </c>
      <c r="AA7" s="210">
        <f t="shared" si="1"/>
        <v>3.54</v>
      </c>
      <c r="AB7" s="210">
        <f t="shared" si="1"/>
        <v>3.54</v>
      </c>
      <c r="AC7" s="210">
        <f t="shared" si="1"/>
        <v>3.54</v>
      </c>
      <c r="AD7" s="210">
        <f t="shared" si="1"/>
        <v>3.54</v>
      </c>
      <c r="AE7" s="210">
        <f t="shared" si="1"/>
        <v>3.54</v>
      </c>
      <c r="AF7" s="210">
        <f t="shared" si="1"/>
        <v>3.54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>
        <v>53.7</v>
      </c>
      <c r="C11" s="221">
        <v>53.7</v>
      </c>
      <c r="D11" s="221">
        <v>53.7</v>
      </c>
      <c r="E11" s="221"/>
      <c r="F11" s="221"/>
      <c r="G11" s="221"/>
      <c r="H11" s="221"/>
      <c r="I11" s="221"/>
      <c r="J11" s="223"/>
      <c r="K11" s="223"/>
      <c r="L11" s="223"/>
      <c r="M11" s="221"/>
      <c r="N11" s="221"/>
      <c r="O11" s="221"/>
      <c r="P11" s="221"/>
      <c r="Q11" s="221"/>
      <c r="R11" s="221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5">
        <v>52.4</v>
      </c>
      <c r="AH11" s="226">
        <f>MAX(B11:AF11)</f>
        <v>53.7</v>
      </c>
      <c r="AI11" s="227">
        <f>MIN(B11:AF11)</f>
        <v>53.7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>
        <v>50</v>
      </c>
      <c r="C12" s="221">
        <v>50</v>
      </c>
      <c r="D12" s="221">
        <v>50</v>
      </c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9">
        <v>50</v>
      </c>
      <c r="AH12" s="226">
        <f t="shared" ref="AH12:AH79" si="2">MAX(B12:AF12)</f>
        <v>50</v>
      </c>
      <c r="AI12" s="227">
        <f t="shared" ref="AI12:AI79" si="3">MIN(B12:AF12)</f>
        <v>50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>
        <v>46</v>
      </c>
      <c r="C13" s="221">
        <v>46</v>
      </c>
      <c r="D13" s="221">
        <v>46</v>
      </c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9">
        <v>45</v>
      </c>
      <c r="AH13" s="226">
        <f t="shared" si="2"/>
        <v>46</v>
      </c>
      <c r="AI13" s="227">
        <f t="shared" si="3"/>
        <v>46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>
        <v>27</v>
      </c>
      <c r="C14" s="221">
        <v>27</v>
      </c>
      <c r="D14" s="221">
        <v>27</v>
      </c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9">
        <v>42</v>
      </c>
      <c r="AH14" s="226">
        <f t="shared" si="2"/>
        <v>27</v>
      </c>
      <c r="AI14" s="227">
        <f t="shared" si="3"/>
        <v>27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>
        <v>0</v>
      </c>
      <c r="C15" s="221">
        <v>0</v>
      </c>
      <c r="D15" s="221">
        <v>0</v>
      </c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30">
        <v>30</v>
      </c>
      <c r="AH15" s="226">
        <f t="shared" si="2"/>
        <v>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>
        <v>25.1</v>
      </c>
      <c r="C16" s="221">
        <v>25.1</v>
      </c>
      <c r="D16" s="221">
        <v>25.1</v>
      </c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9">
        <v>25</v>
      </c>
      <c r="AH16" s="226">
        <f t="shared" si="2"/>
        <v>25.1</v>
      </c>
      <c r="AI16" s="227">
        <f t="shared" si="3"/>
        <v>25.1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>
        <v>25</v>
      </c>
      <c r="C17" s="221">
        <v>25</v>
      </c>
      <c r="D17" s="221">
        <v>25</v>
      </c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9">
        <v>25</v>
      </c>
      <c r="AH17" s="226">
        <f t="shared" si="2"/>
        <v>25</v>
      </c>
      <c r="AI17" s="227">
        <f t="shared" si="3"/>
        <v>25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>
        <v>25</v>
      </c>
      <c r="C18" s="221">
        <v>25</v>
      </c>
      <c r="D18" s="221">
        <v>25</v>
      </c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9">
        <v>25</v>
      </c>
      <c r="AH18" s="226">
        <f t="shared" si="2"/>
        <v>25</v>
      </c>
      <c r="AI18" s="227">
        <f t="shared" si="3"/>
        <v>25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>
        <v>25</v>
      </c>
      <c r="C19" s="221">
        <v>25</v>
      </c>
      <c r="D19" s="221">
        <v>25</v>
      </c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9">
        <v>24.2</v>
      </c>
      <c r="AH19" s="226">
        <f t="shared" si="2"/>
        <v>25</v>
      </c>
      <c r="AI19" s="227">
        <f t="shared" si="3"/>
        <v>25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>
        <v>23.5</v>
      </c>
      <c r="C20" s="221">
        <v>23.5</v>
      </c>
      <c r="D20" s="221">
        <v>23.5</v>
      </c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9">
        <v>23.5</v>
      </c>
      <c r="AH20" s="226">
        <f t="shared" si="2"/>
        <v>23.5</v>
      </c>
      <c r="AI20" s="227">
        <f t="shared" si="3"/>
        <v>23.5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>
        <v>19</v>
      </c>
      <c r="C21" s="221">
        <v>19</v>
      </c>
      <c r="D21" s="221">
        <v>19</v>
      </c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9">
        <v>22.2</v>
      </c>
      <c r="AH21" s="226">
        <f t="shared" si="2"/>
        <v>19</v>
      </c>
      <c r="AI21" s="227">
        <f t="shared" si="3"/>
        <v>19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>
        <v>22</v>
      </c>
      <c r="C22" s="221">
        <v>22</v>
      </c>
      <c r="D22" s="221">
        <v>22</v>
      </c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9">
        <v>22.1</v>
      </c>
      <c r="AH22" s="226">
        <f t="shared" si="2"/>
        <v>22</v>
      </c>
      <c r="AI22" s="227">
        <f t="shared" si="3"/>
        <v>22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>
        <v>22</v>
      </c>
      <c r="C23" s="221">
        <v>22</v>
      </c>
      <c r="D23" s="221">
        <v>22</v>
      </c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9">
        <v>22</v>
      </c>
      <c r="AH23" s="226">
        <f t="shared" si="2"/>
        <v>22</v>
      </c>
      <c r="AI23" s="227">
        <f t="shared" si="3"/>
        <v>22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>
        <v>20</v>
      </c>
      <c r="C24" s="221">
        <v>20</v>
      </c>
      <c r="D24" s="221">
        <v>20</v>
      </c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9">
        <v>22</v>
      </c>
      <c r="AH24" s="226">
        <f t="shared" si="2"/>
        <v>20</v>
      </c>
      <c r="AI24" s="227">
        <f t="shared" si="3"/>
        <v>20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>
        <v>0</v>
      </c>
      <c r="C25" s="221">
        <v>0</v>
      </c>
      <c r="D25" s="221">
        <v>0</v>
      </c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9">
        <v>20</v>
      </c>
      <c r="AH25" s="226">
        <f t="shared" si="2"/>
        <v>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>
        <v>14</v>
      </c>
      <c r="C26" s="221">
        <v>14</v>
      </c>
      <c r="D26" s="221">
        <v>14</v>
      </c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9">
        <v>14.9</v>
      </c>
      <c r="AH26" s="226">
        <f t="shared" si="2"/>
        <v>14</v>
      </c>
      <c r="AI26" s="227">
        <f t="shared" si="3"/>
        <v>14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>
        <v>6</v>
      </c>
      <c r="C27" s="221">
        <v>6</v>
      </c>
      <c r="D27" s="221">
        <v>6</v>
      </c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9">
        <v>13.6</v>
      </c>
      <c r="AH27" s="226">
        <f t="shared" si="2"/>
        <v>6</v>
      </c>
      <c r="AI27" s="227">
        <f t="shared" si="3"/>
        <v>6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>
        <v>10</v>
      </c>
      <c r="C28" s="221">
        <v>10</v>
      </c>
      <c r="D28" s="221">
        <v>10</v>
      </c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9">
        <v>13</v>
      </c>
      <c r="AH28" s="226">
        <f t="shared" si="2"/>
        <v>10</v>
      </c>
      <c r="AI28" s="227">
        <f t="shared" si="3"/>
        <v>10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>
        <v>4</v>
      </c>
      <c r="C29" s="221">
        <v>8</v>
      </c>
      <c r="D29" s="221">
        <v>8</v>
      </c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9">
        <v>12</v>
      </c>
      <c r="AH29" s="226">
        <f t="shared" si="2"/>
        <v>8</v>
      </c>
      <c r="AI29" s="227">
        <f t="shared" si="3"/>
        <v>4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>
        <v>0</v>
      </c>
      <c r="C30" s="221">
        <v>0</v>
      </c>
      <c r="D30" s="221">
        <v>0</v>
      </c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9">
        <v>12</v>
      </c>
      <c r="AH30" s="226">
        <f t="shared" si="2"/>
        <v>0</v>
      </c>
      <c r="AI30" s="227">
        <f t="shared" si="3"/>
        <v>0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>
        <v>9</v>
      </c>
      <c r="C31" s="221">
        <v>9</v>
      </c>
      <c r="D31" s="221">
        <v>9</v>
      </c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31">
        <v>22</v>
      </c>
      <c r="AH31" s="226">
        <f>MAX(B31:AF31)</f>
        <v>9</v>
      </c>
      <c r="AI31" s="227">
        <f>MIN(B31:AF31)</f>
        <v>9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>
        <v>11</v>
      </c>
      <c r="C32" s="221">
        <v>11</v>
      </c>
      <c r="D32" s="221">
        <v>11</v>
      </c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30">
        <v>11.88</v>
      </c>
      <c r="AH32" s="226">
        <f t="shared" si="2"/>
        <v>11</v>
      </c>
      <c r="AI32" s="227">
        <f t="shared" si="3"/>
        <v>11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>
        <v>10</v>
      </c>
      <c r="C33" s="221">
        <v>10</v>
      </c>
      <c r="D33" s="221">
        <v>10</v>
      </c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35">
        <v>11</v>
      </c>
      <c r="AH33" s="226">
        <f t="shared" si="2"/>
        <v>10</v>
      </c>
      <c r="AI33" s="227">
        <f t="shared" si="3"/>
        <v>10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>
        <v>7.5</v>
      </c>
      <c r="C34" s="221">
        <v>7.5</v>
      </c>
      <c r="D34" s="221">
        <v>7.5</v>
      </c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35">
        <v>10</v>
      </c>
      <c r="AH34" s="226">
        <f t="shared" si="2"/>
        <v>7.5</v>
      </c>
      <c r="AI34" s="227">
        <f t="shared" si="3"/>
        <v>7.5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>
        <v>0</v>
      </c>
      <c r="C35" s="221">
        <v>0</v>
      </c>
      <c r="D35" s="221">
        <v>0</v>
      </c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>
        <v>300</v>
      </c>
      <c r="C36" s="237">
        <v>300</v>
      </c>
      <c r="D36" s="237">
        <v>300</v>
      </c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5">
        <v>85</v>
      </c>
      <c r="AH36" s="226">
        <f t="shared" si="2"/>
        <v>300</v>
      </c>
      <c r="AI36" s="227">
        <f t="shared" si="3"/>
        <v>300</v>
      </c>
      <c r="AK36" s="228"/>
    </row>
    <row r="37" spans="1:88" ht="15.75" thickBot="1" x14ac:dyDescent="0.3">
      <c r="A37" s="238" t="s">
        <v>45</v>
      </c>
      <c r="B37" s="239">
        <v>165</v>
      </c>
      <c r="C37" s="239">
        <v>120</v>
      </c>
      <c r="D37" s="239">
        <v>120</v>
      </c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165</v>
      </c>
      <c r="AI37" s="227">
        <f t="shared" si="3"/>
        <v>120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754.8</v>
      </c>
      <c r="C38" s="241">
        <f t="shared" si="4"/>
        <v>758.8</v>
      </c>
      <c r="D38" s="241">
        <f t="shared" si="4"/>
        <v>758.8</v>
      </c>
      <c r="E38" s="241">
        <f t="shared" si="4"/>
        <v>0</v>
      </c>
      <c r="F38" s="241">
        <f t="shared" si="4"/>
        <v>0</v>
      </c>
      <c r="G38" s="241">
        <f t="shared" si="4"/>
        <v>0</v>
      </c>
      <c r="H38" s="241">
        <f t="shared" si="4"/>
        <v>0</v>
      </c>
      <c r="I38" s="241">
        <f t="shared" si="4"/>
        <v>0</v>
      </c>
      <c r="J38" s="241">
        <f t="shared" si="4"/>
        <v>0</v>
      </c>
      <c r="K38" s="241">
        <f t="shared" si="4"/>
        <v>0</v>
      </c>
      <c r="L38" s="241">
        <f t="shared" si="4"/>
        <v>0</v>
      </c>
      <c r="M38" s="241">
        <f t="shared" si="4"/>
        <v>0</v>
      </c>
      <c r="N38" s="241">
        <f t="shared" si="4"/>
        <v>0</v>
      </c>
      <c r="O38" s="241">
        <f t="shared" si="4"/>
        <v>0</v>
      </c>
      <c r="P38" s="241">
        <f t="shared" si="4"/>
        <v>0</v>
      </c>
      <c r="Q38" s="241">
        <f t="shared" si="4"/>
        <v>0</v>
      </c>
      <c r="R38" s="241">
        <f t="shared" si="4"/>
        <v>0</v>
      </c>
      <c r="S38" s="241">
        <f t="shared" si="4"/>
        <v>0</v>
      </c>
      <c r="T38" s="241">
        <f t="shared" si="4"/>
        <v>0</v>
      </c>
      <c r="U38" s="241">
        <f t="shared" si="4"/>
        <v>0</v>
      </c>
      <c r="V38" s="241">
        <f t="shared" si="4"/>
        <v>0</v>
      </c>
      <c r="W38" s="241">
        <f t="shared" si="4"/>
        <v>0</v>
      </c>
      <c r="X38" s="241">
        <f t="shared" si="4"/>
        <v>0</v>
      </c>
      <c r="Y38" s="241">
        <f t="shared" si="4"/>
        <v>0</v>
      </c>
      <c r="Z38" s="241">
        <f t="shared" si="4"/>
        <v>0</v>
      </c>
      <c r="AA38" s="241">
        <f t="shared" si="4"/>
        <v>0</v>
      </c>
      <c r="AB38" s="241">
        <f t="shared" si="4"/>
        <v>0</v>
      </c>
      <c r="AC38" s="241">
        <f t="shared" si="4"/>
        <v>0</v>
      </c>
      <c r="AD38" s="241">
        <f t="shared" si="4"/>
        <v>0</v>
      </c>
      <c r="AE38" s="241">
        <f t="shared" si="4"/>
        <v>0</v>
      </c>
      <c r="AF38" s="241">
        <f t="shared" si="4"/>
        <v>0</v>
      </c>
      <c r="AG38" s="242">
        <f t="shared" si="4"/>
        <v>665.78</v>
      </c>
      <c r="AH38" s="226">
        <f t="shared" si="2"/>
        <v>758.8</v>
      </c>
      <c r="AI38" s="227">
        <f t="shared" si="3"/>
        <v>0</v>
      </c>
      <c r="AK38" s="228"/>
    </row>
    <row r="39" spans="1:88" x14ac:dyDescent="0.25">
      <c r="A39" s="243" t="s">
        <v>47</v>
      </c>
      <c r="B39" s="221">
        <v>370</v>
      </c>
      <c r="C39" s="221">
        <v>370</v>
      </c>
      <c r="D39" s="221">
        <v>380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30">
        <v>456</v>
      </c>
      <c r="AH39" s="226">
        <f t="shared" si="2"/>
        <v>380</v>
      </c>
      <c r="AI39" s="227">
        <f t="shared" si="3"/>
        <v>370</v>
      </c>
      <c r="AK39" s="228"/>
    </row>
    <row r="40" spans="1:88" x14ac:dyDescent="0.25">
      <c r="A40" s="244" t="s">
        <v>48</v>
      </c>
      <c r="B40" s="245">
        <v>60</v>
      </c>
      <c r="C40" s="245">
        <v>60</v>
      </c>
      <c r="D40" s="245">
        <v>60</v>
      </c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35">
        <v>60</v>
      </c>
      <c r="AH40" s="226">
        <f t="shared" si="2"/>
        <v>60</v>
      </c>
      <c r="AI40" s="227">
        <f t="shared" si="3"/>
        <v>60</v>
      </c>
      <c r="AK40" s="228"/>
    </row>
    <row r="41" spans="1:88" ht="15.75" thickBot="1" x14ac:dyDescent="0.3">
      <c r="A41" s="246" t="s">
        <v>49</v>
      </c>
      <c r="B41" s="247">
        <v>22.1</v>
      </c>
      <c r="C41" s="247">
        <v>22</v>
      </c>
      <c r="D41" s="247">
        <v>22</v>
      </c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8">
        <v>22.1</v>
      </c>
      <c r="AH41" s="226">
        <f t="shared" si="2"/>
        <v>22.1</v>
      </c>
      <c r="AI41" s="227">
        <f t="shared" si="3"/>
        <v>22</v>
      </c>
      <c r="AK41" s="228"/>
    </row>
    <row r="42" spans="1:88" ht="15.75" thickBot="1" x14ac:dyDescent="0.3">
      <c r="A42" s="249" t="s">
        <v>50</v>
      </c>
      <c r="B42" s="241">
        <f>SUM(B39:B41)</f>
        <v>452.1</v>
      </c>
      <c r="C42" s="241">
        <f t="shared" ref="C42:AG42" si="5">SUM(C39:C41)</f>
        <v>452</v>
      </c>
      <c r="D42" s="241">
        <f t="shared" si="5"/>
        <v>462</v>
      </c>
      <c r="E42" s="241">
        <f t="shared" si="5"/>
        <v>0</v>
      </c>
      <c r="F42" s="241">
        <f t="shared" si="5"/>
        <v>0</v>
      </c>
      <c r="G42" s="241">
        <f t="shared" si="5"/>
        <v>0</v>
      </c>
      <c r="H42" s="241">
        <f t="shared" si="5"/>
        <v>0</v>
      </c>
      <c r="I42" s="241">
        <f t="shared" si="5"/>
        <v>0</v>
      </c>
      <c r="J42" s="241">
        <f t="shared" si="5"/>
        <v>0</v>
      </c>
      <c r="K42" s="241">
        <f t="shared" si="5"/>
        <v>0</v>
      </c>
      <c r="L42" s="241">
        <f t="shared" si="5"/>
        <v>0</v>
      </c>
      <c r="M42" s="241">
        <f t="shared" si="5"/>
        <v>0</v>
      </c>
      <c r="N42" s="241">
        <f t="shared" si="5"/>
        <v>0</v>
      </c>
      <c r="O42" s="241">
        <f t="shared" si="5"/>
        <v>0</v>
      </c>
      <c r="P42" s="241">
        <f t="shared" si="5"/>
        <v>0</v>
      </c>
      <c r="Q42" s="241">
        <f t="shared" si="5"/>
        <v>0</v>
      </c>
      <c r="R42" s="241">
        <f t="shared" si="5"/>
        <v>0</v>
      </c>
      <c r="S42" s="241">
        <f t="shared" si="5"/>
        <v>0</v>
      </c>
      <c r="T42" s="241">
        <f t="shared" si="5"/>
        <v>0</v>
      </c>
      <c r="U42" s="241">
        <f t="shared" si="5"/>
        <v>0</v>
      </c>
      <c r="V42" s="241">
        <f t="shared" si="5"/>
        <v>0</v>
      </c>
      <c r="W42" s="241">
        <f t="shared" si="5"/>
        <v>0</v>
      </c>
      <c r="X42" s="241">
        <f t="shared" si="5"/>
        <v>0</v>
      </c>
      <c r="Y42" s="241">
        <f t="shared" si="5"/>
        <v>0</v>
      </c>
      <c r="Z42" s="241">
        <f t="shared" si="5"/>
        <v>0</v>
      </c>
      <c r="AA42" s="241">
        <f t="shared" si="5"/>
        <v>0</v>
      </c>
      <c r="AB42" s="241">
        <f t="shared" si="5"/>
        <v>0</v>
      </c>
      <c r="AC42" s="241">
        <f t="shared" si="5"/>
        <v>0</v>
      </c>
      <c r="AD42" s="241">
        <f t="shared" si="5"/>
        <v>0</v>
      </c>
      <c r="AE42" s="241">
        <f t="shared" si="5"/>
        <v>0</v>
      </c>
      <c r="AF42" s="241">
        <f t="shared" si="5"/>
        <v>0</v>
      </c>
      <c r="AG42" s="242">
        <f t="shared" si="5"/>
        <v>538.1</v>
      </c>
      <c r="AH42" s="226">
        <f t="shared" si="2"/>
        <v>462</v>
      </c>
      <c r="AI42" s="227">
        <f t="shared" si="3"/>
        <v>0</v>
      </c>
      <c r="AK42" s="228"/>
    </row>
    <row r="43" spans="1:88" x14ac:dyDescent="0.25">
      <c r="A43" s="220" t="s">
        <v>51</v>
      </c>
      <c r="B43" s="221">
        <v>81</v>
      </c>
      <c r="C43" s="221">
        <v>81</v>
      </c>
      <c r="D43" s="221">
        <v>66</v>
      </c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30">
        <v>144</v>
      </c>
      <c r="AH43" s="226">
        <f t="shared" si="2"/>
        <v>81</v>
      </c>
      <c r="AI43" s="227">
        <f t="shared" si="3"/>
        <v>66</v>
      </c>
      <c r="AK43" s="228"/>
    </row>
    <row r="44" spans="1:88" x14ac:dyDescent="0.25">
      <c r="A44" s="234" t="s">
        <v>52</v>
      </c>
      <c r="B44" s="245">
        <v>35</v>
      </c>
      <c r="C44" s="245">
        <v>35</v>
      </c>
      <c r="D44" s="245">
        <v>35</v>
      </c>
      <c r="E44" s="245"/>
      <c r="F44" s="245"/>
      <c r="G44" s="245"/>
      <c r="H44" s="245"/>
      <c r="I44" s="245"/>
      <c r="J44" s="245"/>
      <c r="K44" s="245"/>
      <c r="L44" s="245"/>
      <c r="M44" s="221"/>
      <c r="N44" s="221"/>
      <c r="O44" s="221"/>
      <c r="P44" s="221"/>
      <c r="Q44" s="221"/>
      <c r="R44" s="221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35">
        <v>70</v>
      </c>
      <c r="AH44" s="226">
        <f t="shared" si="2"/>
        <v>35</v>
      </c>
      <c r="AI44" s="227">
        <f t="shared" si="3"/>
        <v>35</v>
      </c>
      <c r="AK44" s="228"/>
    </row>
    <row r="45" spans="1:88" x14ac:dyDescent="0.25">
      <c r="A45" s="234" t="s">
        <v>53</v>
      </c>
      <c r="B45" s="245">
        <v>50</v>
      </c>
      <c r="C45" s="245">
        <v>50</v>
      </c>
      <c r="D45" s="245">
        <v>50</v>
      </c>
      <c r="E45" s="245"/>
      <c r="F45" s="245"/>
      <c r="G45" s="245"/>
      <c r="H45" s="245"/>
      <c r="I45" s="245"/>
      <c r="J45" s="245"/>
      <c r="K45" s="245"/>
      <c r="L45" s="245"/>
      <c r="M45" s="221"/>
      <c r="N45" s="221"/>
      <c r="O45" s="221"/>
      <c r="P45" s="221"/>
      <c r="Q45" s="221"/>
      <c r="R45" s="221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35">
        <v>69</v>
      </c>
      <c r="AH45" s="226">
        <f t="shared" si="2"/>
        <v>50</v>
      </c>
      <c r="AI45" s="227">
        <f t="shared" si="3"/>
        <v>50</v>
      </c>
      <c r="AK45" s="228"/>
    </row>
    <row r="46" spans="1:88" x14ac:dyDescent="0.25">
      <c r="A46" s="234" t="s">
        <v>54</v>
      </c>
      <c r="B46" s="237">
        <v>41</v>
      </c>
      <c r="C46" s="237">
        <v>41</v>
      </c>
      <c r="D46" s="237">
        <v>41</v>
      </c>
      <c r="E46" s="237"/>
      <c r="F46" s="237"/>
      <c r="G46" s="237"/>
      <c r="H46" s="237"/>
      <c r="I46" s="237"/>
      <c r="J46" s="237"/>
      <c r="K46" s="237"/>
      <c r="L46" s="237"/>
      <c r="M46" s="221"/>
      <c r="N46" s="221"/>
      <c r="O46" s="221"/>
      <c r="P46" s="221"/>
      <c r="Q46" s="221"/>
      <c r="R46" s="221"/>
      <c r="S46" s="221"/>
      <c r="T46" s="221"/>
      <c r="U46" s="221"/>
      <c r="V46" s="245"/>
      <c r="W46" s="245"/>
      <c r="X46" s="245"/>
      <c r="Y46" s="245"/>
      <c r="Z46" s="245"/>
      <c r="AA46" s="245"/>
      <c r="AB46" s="237"/>
      <c r="AC46" s="237"/>
      <c r="AD46" s="237"/>
      <c r="AE46" s="237"/>
      <c r="AF46" s="237"/>
      <c r="AG46" s="235">
        <v>60</v>
      </c>
      <c r="AH46" s="226">
        <f t="shared" si="2"/>
        <v>41</v>
      </c>
      <c r="AI46" s="227">
        <f t="shared" si="3"/>
        <v>41</v>
      </c>
      <c r="AK46" s="228"/>
    </row>
    <row r="47" spans="1:88" x14ac:dyDescent="0.25">
      <c r="A47" s="234" t="s">
        <v>55</v>
      </c>
      <c r="B47" s="237">
        <v>0</v>
      </c>
      <c r="C47" s="237">
        <v>0</v>
      </c>
      <c r="D47" s="237">
        <v>0</v>
      </c>
      <c r="E47" s="237"/>
      <c r="F47" s="237"/>
      <c r="G47" s="237"/>
      <c r="H47" s="237"/>
      <c r="I47" s="237"/>
      <c r="J47" s="237"/>
      <c r="K47" s="237"/>
      <c r="L47" s="237"/>
      <c r="M47" s="221"/>
      <c r="N47" s="221"/>
      <c r="O47" s="221"/>
      <c r="P47" s="221"/>
      <c r="Q47" s="221"/>
      <c r="R47" s="221"/>
      <c r="S47" s="221"/>
      <c r="T47" s="221"/>
      <c r="U47" s="221"/>
      <c r="V47" s="245"/>
      <c r="W47" s="245"/>
      <c r="X47" s="245"/>
      <c r="Y47" s="245"/>
      <c r="Z47" s="245"/>
      <c r="AA47" s="245"/>
      <c r="AB47" s="237"/>
      <c r="AC47" s="237"/>
      <c r="AD47" s="237"/>
      <c r="AE47" s="237"/>
      <c r="AF47" s="237"/>
      <c r="AG47" s="235">
        <v>30</v>
      </c>
      <c r="AH47" s="226">
        <f t="shared" si="2"/>
        <v>0</v>
      </c>
      <c r="AI47" s="227">
        <f t="shared" si="3"/>
        <v>0</v>
      </c>
      <c r="AK47" s="228"/>
    </row>
    <row r="48" spans="1:88" x14ac:dyDescent="0.25">
      <c r="A48" s="234" t="s">
        <v>56</v>
      </c>
      <c r="B48" s="245">
        <v>0</v>
      </c>
      <c r="C48" s="245">
        <v>0</v>
      </c>
      <c r="D48" s="245">
        <v>0</v>
      </c>
      <c r="E48" s="245"/>
      <c r="F48" s="237"/>
      <c r="G48" s="237"/>
      <c r="H48" s="237"/>
      <c r="I48" s="237"/>
      <c r="J48" s="237"/>
      <c r="K48" s="237"/>
      <c r="L48" s="237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45"/>
      <c r="AC48" s="245"/>
      <c r="AD48" s="245"/>
      <c r="AE48" s="245"/>
      <c r="AF48" s="245"/>
      <c r="AG48" s="235">
        <v>25</v>
      </c>
      <c r="AH48" s="226">
        <f t="shared" si="2"/>
        <v>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>
        <v>11.3</v>
      </c>
      <c r="C49" s="245">
        <v>11.3</v>
      </c>
      <c r="D49" s="245">
        <v>11.3</v>
      </c>
      <c r="E49" s="245"/>
      <c r="F49" s="245"/>
      <c r="G49" s="245"/>
      <c r="H49" s="245"/>
      <c r="I49" s="245"/>
      <c r="J49" s="245"/>
      <c r="K49" s="245"/>
      <c r="L49" s="245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45"/>
      <c r="AC49" s="245"/>
      <c r="AD49" s="245"/>
      <c r="AE49" s="245"/>
      <c r="AF49" s="245"/>
      <c r="AG49" s="235">
        <v>24</v>
      </c>
      <c r="AH49" s="226">
        <f t="shared" si="2"/>
        <v>11.3</v>
      </c>
      <c r="AI49" s="227">
        <f t="shared" si="3"/>
        <v>11.3</v>
      </c>
      <c r="AK49" s="228"/>
    </row>
    <row r="50" spans="1:41" x14ac:dyDescent="0.25">
      <c r="A50" s="234" t="s">
        <v>58</v>
      </c>
      <c r="B50" s="245">
        <v>3</v>
      </c>
      <c r="C50" s="245">
        <v>3</v>
      </c>
      <c r="D50" s="245">
        <v>3</v>
      </c>
      <c r="E50" s="245"/>
      <c r="F50" s="245"/>
      <c r="G50" s="245"/>
      <c r="H50" s="245"/>
      <c r="I50" s="245"/>
      <c r="J50" s="245"/>
      <c r="K50" s="245"/>
      <c r="L50" s="245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45"/>
      <c r="AC50" s="245"/>
      <c r="AD50" s="245"/>
      <c r="AE50" s="245"/>
      <c r="AF50" s="245"/>
      <c r="AG50" s="235">
        <v>15</v>
      </c>
      <c r="AH50" s="226">
        <f t="shared" si="2"/>
        <v>3</v>
      </c>
      <c r="AI50" s="227">
        <f t="shared" si="3"/>
        <v>3</v>
      </c>
      <c r="AK50" s="228"/>
      <c r="AL50" s="250"/>
      <c r="AO50" s="250"/>
    </row>
    <row r="51" spans="1:41" s="250" customFormat="1" x14ac:dyDescent="0.25">
      <c r="A51" s="234" t="s">
        <v>59</v>
      </c>
      <c r="B51" s="245">
        <v>12.4</v>
      </c>
      <c r="C51" s="245">
        <v>12.4</v>
      </c>
      <c r="D51" s="245">
        <v>9.4</v>
      </c>
      <c r="E51" s="245"/>
      <c r="F51" s="245"/>
      <c r="G51" s="245"/>
      <c r="H51" s="245"/>
      <c r="I51" s="245"/>
      <c r="J51" s="245"/>
      <c r="K51" s="245"/>
      <c r="L51" s="245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45"/>
      <c r="AC51" s="245"/>
      <c r="AD51" s="245"/>
      <c r="AE51" s="245"/>
      <c r="AF51" s="245"/>
      <c r="AG51" s="235">
        <v>14.1</v>
      </c>
      <c r="AH51" s="226">
        <f t="shared" si="2"/>
        <v>12.4</v>
      </c>
      <c r="AI51" s="227">
        <f t="shared" si="3"/>
        <v>9.4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>
        <v>4.8</v>
      </c>
      <c r="C52" s="245">
        <v>4.8</v>
      </c>
      <c r="D52" s="245">
        <v>4.8</v>
      </c>
      <c r="E52" s="245"/>
      <c r="F52" s="245"/>
      <c r="G52" s="245"/>
      <c r="H52" s="245"/>
      <c r="I52" s="245"/>
      <c r="J52" s="245"/>
      <c r="K52" s="245"/>
      <c r="L52" s="245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45"/>
      <c r="AC52" s="245"/>
      <c r="AD52" s="245"/>
      <c r="AE52" s="245"/>
      <c r="AF52" s="245"/>
      <c r="AG52" s="235">
        <v>14</v>
      </c>
      <c r="AH52" s="226">
        <f t="shared" si="2"/>
        <v>4.8</v>
      </c>
      <c r="AI52" s="227">
        <f t="shared" si="3"/>
        <v>4.8</v>
      </c>
      <c r="AK52" s="228"/>
    </row>
    <row r="53" spans="1:41" x14ac:dyDescent="0.25">
      <c r="A53" s="234" t="s">
        <v>61</v>
      </c>
      <c r="B53" s="245">
        <v>9</v>
      </c>
      <c r="C53" s="245">
        <v>9</v>
      </c>
      <c r="D53" s="245">
        <v>9</v>
      </c>
      <c r="E53" s="245"/>
      <c r="F53" s="245"/>
      <c r="G53" s="245"/>
      <c r="H53" s="245"/>
      <c r="I53" s="245"/>
      <c r="J53" s="245"/>
      <c r="K53" s="245"/>
      <c r="L53" s="245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45"/>
      <c r="AC53" s="245"/>
      <c r="AD53" s="245"/>
      <c r="AE53" s="245"/>
      <c r="AF53" s="245"/>
      <c r="AG53" s="235">
        <v>10.050000000000001</v>
      </c>
      <c r="AH53" s="226">
        <f t="shared" si="2"/>
        <v>9</v>
      </c>
      <c r="AI53" s="227">
        <f t="shared" si="3"/>
        <v>9</v>
      </c>
      <c r="AK53" s="228"/>
    </row>
    <row r="54" spans="1:41" x14ac:dyDescent="0.25">
      <c r="A54" s="234" t="s">
        <v>62</v>
      </c>
      <c r="B54" s="245">
        <v>6.2</v>
      </c>
      <c r="C54" s="245">
        <v>6.2</v>
      </c>
      <c r="D54" s="245">
        <v>6.2</v>
      </c>
      <c r="E54" s="245"/>
      <c r="F54" s="245"/>
      <c r="G54" s="245"/>
      <c r="H54" s="245"/>
      <c r="I54" s="245"/>
      <c r="J54" s="245"/>
      <c r="K54" s="245"/>
      <c r="L54" s="245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45"/>
      <c r="AC54" s="245"/>
      <c r="AD54" s="245"/>
      <c r="AE54" s="245"/>
      <c r="AF54" s="245"/>
      <c r="AG54" s="235">
        <v>6.2</v>
      </c>
      <c r="AH54" s="226">
        <f t="shared" si="2"/>
        <v>6.2</v>
      </c>
      <c r="AI54" s="227">
        <f t="shared" si="3"/>
        <v>6.2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257.24</v>
      </c>
      <c r="C56" s="241">
        <f t="shared" ref="C56:AG56" si="6">SUM(C43:C55)</f>
        <v>257.24</v>
      </c>
      <c r="D56" s="241">
        <f t="shared" si="6"/>
        <v>239.24</v>
      </c>
      <c r="E56" s="241">
        <f t="shared" si="6"/>
        <v>3.54</v>
      </c>
      <c r="F56" s="241">
        <f t="shared" si="6"/>
        <v>3.54</v>
      </c>
      <c r="G56" s="241">
        <f t="shared" si="6"/>
        <v>3.54</v>
      </c>
      <c r="H56" s="241">
        <f t="shared" si="6"/>
        <v>3.54</v>
      </c>
      <c r="I56" s="241">
        <f t="shared" si="6"/>
        <v>3.54</v>
      </c>
      <c r="J56" s="241">
        <f t="shared" si="6"/>
        <v>3.54</v>
      </c>
      <c r="K56" s="241">
        <f t="shared" si="6"/>
        <v>3.54</v>
      </c>
      <c r="L56" s="241">
        <f t="shared" si="6"/>
        <v>3.54</v>
      </c>
      <c r="M56" s="241">
        <f t="shared" si="6"/>
        <v>3.54</v>
      </c>
      <c r="N56" s="241">
        <f t="shared" si="6"/>
        <v>3.54</v>
      </c>
      <c r="O56" s="241">
        <f t="shared" si="6"/>
        <v>3.54</v>
      </c>
      <c r="P56" s="241">
        <f t="shared" si="6"/>
        <v>3.54</v>
      </c>
      <c r="Q56" s="241">
        <f t="shared" si="6"/>
        <v>3.54</v>
      </c>
      <c r="R56" s="241">
        <f t="shared" si="6"/>
        <v>3.54</v>
      </c>
      <c r="S56" s="241">
        <f t="shared" si="6"/>
        <v>3.54</v>
      </c>
      <c r="T56" s="241">
        <f t="shared" si="6"/>
        <v>3.54</v>
      </c>
      <c r="U56" s="241">
        <f t="shared" si="6"/>
        <v>3.54</v>
      </c>
      <c r="V56" s="241">
        <f t="shared" si="6"/>
        <v>3.54</v>
      </c>
      <c r="W56" s="241">
        <f t="shared" si="6"/>
        <v>3.54</v>
      </c>
      <c r="X56" s="241">
        <f t="shared" si="6"/>
        <v>3.54</v>
      </c>
      <c r="Y56" s="241">
        <f t="shared" si="6"/>
        <v>3.54</v>
      </c>
      <c r="Z56" s="241">
        <f t="shared" si="6"/>
        <v>3.54</v>
      </c>
      <c r="AA56" s="241">
        <f t="shared" si="6"/>
        <v>3.54</v>
      </c>
      <c r="AB56" s="241">
        <f t="shared" si="6"/>
        <v>3.54</v>
      </c>
      <c r="AC56" s="241">
        <f t="shared" si="6"/>
        <v>3.54</v>
      </c>
      <c r="AD56" s="241">
        <f t="shared" si="6"/>
        <v>3.54</v>
      </c>
      <c r="AE56" s="241">
        <f t="shared" si="6"/>
        <v>3.54</v>
      </c>
      <c r="AF56" s="241">
        <f t="shared" si="6"/>
        <v>3.54</v>
      </c>
      <c r="AG56" s="242">
        <f t="shared" si="6"/>
        <v>489.91</v>
      </c>
      <c r="AH56" s="226">
        <f t="shared" si="2"/>
        <v>257.24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>
        <v>0</v>
      </c>
      <c r="C57" s="221">
        <v>0</v>
      </c>
      <c r="D57" s="221">
        <v>0</v>
      </c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>
        <v>0</v>
      </c>
      <c r="C58" s="245">
        <v>0</v>
      </c>
      <c r="D58" s="245">
        <v>0</v>
      </c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>
        <v>0</v>
      </c>
      <c r="C59" s="247">
        <v>0</v>
      </c>
      <c r="D59" s="247">
        <v>0</v>
      </c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>
        <v>0</v>
      </c>
      <c r="C61" s="221">
        <v>0</v>
      </c>
      <c r="D61" s="221">
        <v>0</v>
      </c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30"/>
      <c r="AH61" s="226">
        <f t="shared" si="2"/>
        <v>0</v>
      </c>
      <c r="AI61" s="227">
        <f t="shared" si="3"/>
        <v>0</v>
      </c>
      <c r="AK61" s="228"/>
    </row>
    <row r="62" spans="1:41" x14ac:dyDescent="0.25">
      <c r="A62" s="234" t="s">
        <v>70</v>
      </c>
      <c r="B62" s="245">
        <v>0</v>
      </c>
      <c r="C62" s="245">
        <v>0</v>
      </c>
      <c r="D62" s="245">
        <v>0</v>
      </c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>
        <v>-420</v>
      </c>
      <c r="C63" s="245">
        <v>-400</v>
      </c>
      <c r="D63" s="245">
        <v>-450</v>
      </c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55"/>
      <c r="AH63" s="226">
        <f t="shared" si="2"/>
        <v>-400</v>
      </c>
      <c r="AI63" s="227">
        <f t="shared" si="3"/>
        <v>-450</v>
      </c>
      <c r="AK63" s="228"/>
    </row>
    <row r="64" spans="1:41" x14ac:dyDescent="0.25">
      <c r="A64" s="234" t="s">
        <v>72</v>
      </c>
      <c r="B64" s="256">
        <v>0</v>
      </c>
      <c r="C64" s="256">
        <v>0</v>
      </c>
      <c r="D64" s="256">
        <v>0</v>
      </c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>
        <v>0</v>
      </c>
      <c r="C65" s="221">
        <v>0</v>
      </c>
      <c r="D65" s="221">
        <v>0</v>
      </c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>
        <v>0</v>
      </c>
      <c r="C66" s="257">
        <v>0</v>
      </c>
      <c r="D66" s="257">
        <v>0</v>
      </c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>
        <v>0</v>
      </c>
      <c r="C67" s="257">
        <v>0</v>
      </c>
      <c r="D67" s="257">
        <v>0</v>
      </c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>
        <v>0</v>
      </c>
      <c r="C68" s="256">
        <v>0</v>
      </c>
      <c r="D68" s="256">
        <v>0</v>
      </c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>
        <v>0</v>
      </c>
      <c r="C69" s="256">
        <v>0</v>
      </c>
      <c r="D69" s="256">
        <v>0</v>
      </c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>
        <v>0</v>
      </c>
      <c r="C70" s="259">
        <v>0</v>
      </c>
      <c r="D70" s="259">
        <v>0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>
        <v>0</v>
      </c>
      <c r="C71" s="259">
        <v>0</v>
      </c>
      <c r="D71" s="259">
        <v>0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8">SUMIF(C61:C71,"&gt;0")</f>
        <v>0</v>
      </c>
      <c r="D72" s="241">
        <f t="shared" si="8"/>
        <v>0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0</v>
      </c>
      <c r="S72" s="241">
        <f t="shared" si="9"/>
        <v>0</v>
      </c>
      <c r="T72" s="241">
        <f t="shared" si="9"/>
        <v>0</v>
      </c>
      <c r="U72" s="241">
        <f t="shared" si="9"/>
        <v>0</v>
      </c>
      <c r="V72" s="241">
        <f t="shared" si="9"/>
        <v>0</v>
      </c>
      <c r="W72" s="241">
        <f t="shared" si="9"/>
        <v>0</v>
      </c>
      <c r="X72" s="241">
        <f t="shared" si="9"/>
        <v>0</v>
      </c>
      <c r="Y72" s="241">
        <f t="shared" si="9"/>
        <v>0</v>
      </c>
      <c r="Z72" s="241">
        <f t="shared" si="9"/>
        <v>0</v>
      </c>
      <c r="AA72" s="241">
        <f t="shared" si="9"/>
        <v>0</v>
      </c>
      <c r="AB72" s="241">
        <f t="shared" si="9"/>
        <v>0</v>
      </c>
      <c r="AC72" s="241">
        <f t="shared" si="9"/>
        <v>0</v>
      </c>
      <c r="AD72" s="241">
        <f t="shared" si="9"/>
        <v>0</v>
      </c>
      <c r="AE72" s="241">
        <f t="shared" si="9"/>
        <v>0</v>
      </c>
      <c r="AF72" s="241">
        <f t="shared" si="9"/>
        <v>0</v>
      </c>
      <c r="AG72" s="261">
        <f>SUM(AG61:AG71)</f>
        <v>0</v>
      </c>
      <c r="AH72" s="226">
        <f t="shared" si="2"/>
        <v>0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1464.14</v>
      </c>
      <c r="C77" s="263">
        <f t="shared" ref="C77:AF77" si="10">C38+C42+C60+C56+C72+C76</f>
        <v>1468.04</v>
      </c>
      <c r="D77" s="263">
        <f t="shared" si="10"/>
        <v>1460.04</v>
      </c>
      <c r="E77" s="263">
        <f t="shared" si="10"/>
        <v>3.54</v>
      </c>
      <c r="F77" s="263">
        <f t="shared" si="10"/>
        <v>3.54</v>
      </c>
      <c r="G77" s="263">
        <f t="shared" si="10"/>
        <v>3.54</v>
      </c>
      <c r="H77" s="263">
        <f t="shared" si="10"/>
        <v>3.54</v>
      </c>
      <c r="I77" s="263">
        <f t="shared" si="10"/>
        <v>3.54</v>
      </c>
      <c r="J77" s="263">
        <f t="shared" si="10"/>
        <v>3.54</v>
      </c>
      <c r="K77" s="263">
        <f t="shared" si="10"/>
        <v>3.54</v>
      </c>
      <c r="L77" s="263">
        <f t="shared" si="10"/>
        <v>3.54</v>
      </c>
      <c r="M77" s="263">
        <f t="shared" si="10"/>
        <v>3.54</v>
      </c>
      <c r="N77" s="263">
        <f t="shared" si="10"/>
        <v>3.54</v>
      </c>
      <c r="O77" s="263">
        <f t="shared" si="10"/>
        <v>3.54</v>
      </c>
      <c r="P77" s="263">
        <f t="shared" si="10"/>
        <v>3.54</v>
      </c>
      <c r="Q77" s="263">
        <f t="shared" si="10"/>
        <v>3.54</v>
      </c>
      <c r="R77" s="263">
        <f t="shared" si="10"/>
        <v>3.54</v>
      </c>
      <c r="S77" s="263">
        <f t="shared" si="10"/>
        <v>3.54</v>
      </c>
      <c r="T77" s="263">
        <f t="shared" si="10"/>
        <v>3.54</v>
      </c>
      <c r="U77" s="263">
        <f t="shared" si="10"/>
        <v>3.54</v>
      </c>
      <c r="V77" s="263">
        <f t="shared" si="10"/>
        <v>3.54</v>
      </c>
      <c r="W77" s="263">
        <f t="shared" si="10"/>
        <v>3.54</v>
      </c>
      <c r="X77" s="263">
        <f t="shared" si="10"/>
        <v>3.54</v>
      </c>
      <c r="Y77" s="263">
        <f t="shared" si="10"/>
        <v>3.54</v>
      </c>
      <c r="Z77" s="263">
        <f t="shared" si="10"/>
        <v>3.54</v>
      </c>
      <c r="AA77" s="263">
        <f t="shared" si="10"/>
        <v>3.54</v>
      </c>
      <c r="AB77" s="263">
        <f t="shared" si="10"/>
        <v>3.54</v>
      </c>
      <c r="AC77" s="263">
        <f t="shared" si="10"/>
        <v>3.54</v>
      </c>
      <c r="AD77" s="263">
        <f t="shared" si="10"/>
        <v>3.54</v>
      </c>
      <c r="AE77" s="263">
        <f t="shared" si="10"/>
        <v>3.54</v>
      </c>
      <c r="AF77" s="263">
        <f t="shared" si="10"/>
        <v>3.54</v>
      </c>
      <c r="AG77" s="242">
        <f>AG38+AG42+AG60+AG56+AG72+AG76</f>
        <v>1855.1900000000003</v>
      </c>
      <c r="AH77" s="226">
        <f t="shared" si="2"/>
        <v>1468.04</v>
      </c>
      <c r="AI77" s="227">
        <f t="shared" si="3"/>
        <v>3.54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1464.14</v>
      </c>
      <c r="C79" s="263">
        <f t="shared" ref="C79:AF79" si="11">C77+C78</f>
        <v>1468.04</v>
      </c>
      <c r="D79" s="263">
        <f t="shared" si="11"/>
        <v>1460.04</v>
      </c>
      <c r="E79" s="263">
        <f t="shared" si="11"/>
        <v>3.54</v>
      </c>
      <c r="F79" s="263">
        <f t="shared" si="11"/>
        <v>3.54</v>
      </c>
      <c r="G79" s="263">
        <f t="shared" si="11"/>
        <v>3.54</v>
      </c>
      <c r="H79" s="263">
        <f t="shared" si="11"/>
        <v>3.54</v>
      </c>
      <c r="I79" s="263">
        <f t="shared" si="11"/>
        <v>3.54</v>
      </c>
      <c r="J79" s="263">
        <f t="shared" si="11"/>
        <v>3.54</v>
      </c>
      <c r="K79" s="263">
        <f t="shared" si="11"/>
        <v>3.54</v>
      </c>
      <c r="L79" s="263">
        <f t="shared" si="11"/>
        <v>3.54</v>
      </c>
      <c r="M79" s="263">
        <f t="shared" si="11"/>
        <v>3.54</v>
      </c>
      <c r="N79" s="263">
        <f t="shared" si="11"/>
        <v>3.54</v>
      </c>
      <c r="O79" s="263">
        <f t="shared" si="11"/>
        <v>3.54</v>
      </c>
      <c r="P79" s="263">
        <f t="shared" si="11"/>
        <v>3.54</v>
      </c>
      <c r="Q79" s="263">
        <f t="shared" si="11"/>
        <v>3.54</v>
      </c>
      <c r="R79" s="263">
        <f t="shared" si="11"/>
        <v>3.54</v>
      </c>
      <c r="S79" s="263">
        <f t="shared" si="11"/>
        <v>3.54</v>
      </c>
      <c r="T79" s="263">
        <f t="shared" si="11"/>
        <v>3.54</v>
      </c>
      <c r="U79" s="263">
        <f t="shared" si="11"/>
        <v>3.54</v>
      </c>
      <c r="V79" s="263">
        <f t="shared" si="11"/>
        <v>3.54</v>
      </c>
      <c r="W79" s="263">
        <f t="shared" si="11"/>
        <v>3.54</v>
      </c>
      <c r="X79" s="263">
        <f t="shared" si="11"/>
        <v>3.54</v>
      </c>
      <c r="Y79" s="263">
        <f t="shared" si="11"/>
        <v>3.54</v>
      </c>
      <c r="Z79" s="263">
        <f t="shared" si="11"/>
        <v>3.54</v>
      </c>
      <c r="AA79" s="263">
        <f t="shared" si="11"/>
        <v>3.54</v>
      </c>
      <c r="AB79" s="263">
        <f t="shared" si="11"/>
        <v>3.54</v>
      </c>
      <c r="AC79" s="263">
        <f t="shared" si="11"/>
        <v>3.54</v>
      </c>
      <c r="AD79" s="263">
        <f t="shared" si="11"/>
        <v>3.54</v>
      </c>
      <c r="AE79" s="263">
        <f t="shared" si="11"/>
        <v>3.54</v>
      </c>
      <c r="AF79" s="263">
        <f t="shared" si="11"/>
        <v>3.54</v>
      </c>
      <c r="AG79" s="261">
        <f>AG76+AG72+AG60+AG56+AG38+AG78</f>
        <v>1317.0900000000001</v>
      </c>
      <c r="AH79" s="226">
        <f t="shared" si="2"/>
        <v>1468.04</v>
      </c>
      <c r="AI79" s="227">
        <f t="shared" si="3"/>
        <v>3.54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1044.1400000000001</v>
      </c>
      <c r="C80" s="263">
        <f t="shared" si="12"/>
        <v>1068.04</v>
      </c>
      <c r="D80" s="263">
        <f t="shared" si="12"/>
        <v>1010.04</v>
      </c>
      <c r="E80" s="263">
        <f t="shared" si="12"/>
        <v>3.54</v>
      </c>
      <c r="F80" s="263">
        <f t="shared" si="12"/>
        <v>3.54</v>
      </c>
      <c r="G80" s="263">
        <f t="shared" si="12"/>
        <v>3.54</v>
      </c>
      <c r="H80" s="263">
        <f t="shared" si="12"/>
        <v>3.54</v>
      </c>
      <c r="I80" s="263">
        <f t="shared" si="12"/>
        <v>3.54</v>
      </c>
      <c r="J80" s="263">
        <f t="shared" si="12"/>
        <v>3.54</v>
      </c>
      <c r="K80" s="263">
        <f t="shared" si="12"/>
        <v>3.54</v>
      </c>
      <c r="L80" s="263">
        <f t="shared" si="12"/>
        <v>3.54</v>
      </c>
      <c r="M80" s="263">
        <f t="shared" si="12"/>
        <v>3.54</v>
      </c>
      <c r="N80" s="263">
        <f t="shared" si="12"/>
        <v>3.54</v>
      </c>
      <c r="O80" s="263">
        <f t="shared" si="12"/>
        <v>3.54</v>
      </c>
      <c r="P80" s="263">
        <f t="shared" si="12"/>
        <v>3.54</v>
      </c>
      <c r="Q80" s="263">
        <f t="shared" si="12"/>
        <v>3.54</v>
      </c>
      <c r="R80" s="263">
        <f t="shared" si="12"/>
        <v>3.54</v>
      </c>
      <c r="S80" s="263">
        <f t="shared" si="12"/>
        <v>3.54</v>
      </c>
      <c r="T80" s="263">
        <f t="shared" si="12"/>
        <v>3.54</v>
      </c>
      <c r="U80" s="263">
        <f t="shared" si="12"/>
        <v>3.54</v>
      </c>
      <c r="V80" s="263">
        <f t="shared" si="12"/>
        <v>3.54</v>
      </c>
      <c r="W80" s="263">
        <f t="shared" si="12"/>
        <v>3.54</v>
      </c>
      <c r="X80" s="263">
        <f t="shared" si="12"/>
        <v>3.54</v>
      </c>
      <c r="Y80" s="263">
        <f t="shared" si="12"/>
        <v>3.54</v>
      </c>
      <c r="Z80" s="263">
        <f t="shared" si="12"/>
        <v>3.54</v>
      </c>
      <c r="AA80" s="263">
        <f t="shared" si="12"/>
        <v>3.54</v>
      </c>
      <c r="AB80" s="263">
        <f t="shared" si="12"/>
        <v>3.54</v>
      </c>
      <c r="AC80" s="263">
        <f t="shared" si="12"/>
        <v>3.54</v>
      </c>
      <c r="AD80" s="263">
        <f t="shared" si="12"/>
        <v>3.54</v>
      </c>
      <c r="AE80" s="263">
        <f t="shared" si="12"/>
        <v>3.54</v>
      </c>
      <c r="AF80" s="263">
        <f t="shared" si="12"/>
        <v>3.54</v>
      </c>
      <c r="AG80" s="261"/>
      <c r="AH80" s="226">
        <f t="shared" ref="AH80:AH97" si="13">MAX(B80:AF80)</f>
        <v>1068.04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420</v>
      </c>
      <c r="C84" s="256">
        <f t="shared" ref="C84:AF84" si="18">IF(C63&lt;0,C63*-1,0)</f>
        <v>400</v>
      </c>
      <c r="D84" s="256">
        <f t="shared" si="18"/>
        <v>450</v>
      </c>
      <c r="E84" s="256">
        <f t="shared" si="18"/>
        <v>0</v>
      </c>
      <c r="F84" s="256">
        <f t="shared" si="18"/>
        <v>0</v>
      </c>
      <c r="G84" s="256">
        <f t="shared" si="18"/>
        <v>0</v>
      </c>
      <c r="H84" s="256">
        <f t="shared" si="18"/>
        <v>0</v>
      </c>
      <c r="I84" s="256">
        <f t="shared" si="18"/>
        <v>0</v>
      </c>
      <c r="J84" s="256">
        <f t="shared" si="18"/>
        <v>0</v>
      </c>
      <c r="K84" s="256">
        <f t="shared" si="18"/>
        <v>0</v>
      </c>
      <c r="L84" s="256">
        <f t="shared" si="18"/>
        <v>0</v>
      </c>
      <c r="M84" s="256">
        <f t="shared" si="18"/>
        <v>0</v>
      </c>
      <c r="N84" s="256">
        <f t="shared" si="18"/>
        <v>0</v>
      </c>
      <c r="O84" s="256">
        <f t="shared" si="18"/>
        <v>0</v>
      </c>
      <c r="P84" s="256">
        <f t="shared" si="18"/>
        <v>0</v>
      </c>
      <c r="Q84" s="256">
        <f t="shared" si="18"/>
        <v>0</v>
      </c>
      <c r="R84" s="256">
        <f t="shared" si="18"/>
        <v>0</v>
      </c>
      <c r="S84" s="256">
        <f t="shared" si="18"/>
        <v>0</v>
      </c>
      <c r="T84" s="256">
        <f t="shared" si="18"/>
        <v>0</v>
      </c>
      <c r="U84" s="256">
        <f t="shared" si="18"/>
        <v>0</v>
      </c>
      <c r="V84" s="256">
        <f t="shared" si="18"/>
        <v>0</v>
      </c>
      <c r="W84" s="256">
        <f t="shared" si="18"/>
        <v>0</v>
      </c>
      <c r="X84" s="256">
        <f t="shared" si="18"/>
        <v>0</v>
      </c>
      <c r="Y84" s="256">
        <f t="shared" si="18"/>
        <v>0</v>
      </c>
      <c r="Z84" s="256">
        <f t="shared" si="18"/>
        <v>0</v>
      </c>
      <c r="AA84" s="256">
        <f t="shared" si="18"/>
        <v>0</v>
      </c>
      <c r="AB84" s="256">
        <f t="shared" si="18"/>
        <v>0</v>
      </c>
      <c r="AC84" s="256">
        <f t="shared" si="18"/>
        <v>0</v>
      </c>
      <c r="AD84" s="256">
        <f t="shared" si="18"/>
        <v>0</v>
      </c>
      <c r="AE84" s="256">
        <f t="shared" si="18"/>
        <v>0</v>
      </c>
      <c r="AF84" s="256">
        <f t="shared" si="18"/>
        <v>0</v>
      </c>
      <c r="AG84" s="266"/>
      <c r="AH84" s="226">
        <f t="shared" si="13"/>
        <v>450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420</v>
      </c>
      <c r="C87" s="241">
        <f t="shared" ref="C87:AF87" si="20">SUM(C81:C86)</f>
        <v>400</v>
      </c>
      <c r="D87" s="241">
        <f t="shared" si="20"/>
        <v>450</v>
      </c>
      <c r="E87" s="241">
        <f t="shared" si="20"/>
        <v>0</v>
      </c>
      <c r="F87" s="241">
        <f t="shared" si="20"/>
        <v>0</v>
      </c>
      <c r="G87" s="241">
        <f t="shared" si="20"/>
        <v>0</v>
      </c>
      <c r="H87" s="241">
        <f t="shared" si="20"/>
        <v>0</v>
      </c>
      <c r="I87" s="241">
        <f t="shared" si="20"/>
        <v>0</v>
      </c>
      <c r="J87" s="241">
        <f t="shared" si="20"/>
        <v>0</v>
      </c>
      <c r="K87" s="241">
        <f t="shared" si="20"/>
        <v>0</v>
      </c>
      <c r="L87" s="241">
        <f t="shared" si="20"/>
        <v>0</v>
      </c>
      <c r="M87" s="241">
        <f t="shared" si="20"/>
        <v>0</v>
      </c>
      <c r="N87" s="241">
        <f t="shared" si="20"/>
        <v>0</v>
      </c>
      <c r="O87" s="241">
        <f t="shared" si="20"/>
        <v>0</v>
      </c>
      <c r="P87" s="241">
        <f t="shared" si="20"/>
        <v>0</v>
      </c>
      <c r="Q87" s="241">
        <f t="shared" si="20"/>
        <v>0</v>
      </c>
      <c r="R87" s="241">
        <f t="shared" si="20"/>
        <v>0</v>
      </c>
      <c r="S87" s="241">
        <f t="shared" si="20"/>
        <v>0</v>
      </c>
      <c r="T87" s="241">
        <f t="shared" si="20"/>
        <v>0</v>
      </c>
      <c r="U87" s="241">
        <f t="shared" si="20"/>
        <v>0</v>
      </c>
      <c r="V87" s="241">
        <f t="shared" si="20"/>
        <v>0</v>
      </c>
      <c r="W87" s="241">
        <f t="shared" si="20"/>
        <v>0</v>
      </c>
      <c r="X87" s="241">
        <f t="shared" si="20"/>
        <v>0</v>
      </c>
      <c r="Y87" s="241">
        <f t="shared" si="20"/>
        <v>0</v>
      </c>
      <c r="Z87" s="241">
        <f t="shared" si="20"/>
        <v>0</v>
      </c>
      <c r="AA87" s="241">
        <f t="shared" si="20"/>
        <v>0</v>
      </c>
      <c r="AB87" s="241">
        <f t="shared" si="20"/>
        <v>0</v>
      </c>
      <c r="AC87" s="241">
        <f t="shared" si="20"/>
        <v>0</v>
      </c>
      <c r="AD87" s="241">
        <f t="shared" si="20"/>
        <v>0</v>
      </c>
      <c r="AE87" s="241">
        <f t="shared" si="20"/>
        <v>0</v>
      </c>
      <c r="AF87" s="241">
        <f t="shared" si="20"/>
        <v>0</v>
      </c>
      <c r="AG87" s="261"/>
      <c r="AH87" s="226">
        <f t="shared" si="13"/>
        <v>450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-420</v>
      </c>
      <c r="C88" s="241">
        <f t="shared" ref="C88:AF88" si="21">C72-C87</f>
        <v>-400</v>
      </c>
      <c r="D88" s="241">
        <f t="shared" si="21"/>
        <v>-450</v>
      </c>
      <c r="E88" s="241">
        <f t="shared" si="21"/>
        <v>0</v>
      </c>
      <c r="F88" s="241">
        <f t="shared" si="21"/>
        <v>0</v>
      </c>
      <c r="G88" s="241">
        <f t="shared" si="21"/>
        <v>0</v>
      </c>
      <c r="H88" s="241">
        <f t="shared" si="21"/>
        <v>0</v>
      </c>
      <c r="I88" s="241">
        <f t="shared" si="21"/>
        <v>0</v>
      </c>
      <c r="J88" s="241">
        <f t="shared" si="21"/>
        <v>0</v>
      </c>
      <c r="K88" s="241">
        <f t="shared" si="21"/>
        <v>0</v>
      </c>
      <c r="L88" s="241">
        <f t="shared" si="21"/>
        <v>0</v>
      </c>
      <c r="M88" s="241">
        <f t="shared" si="21"/>
        <v>0</v>
      </c>
      <c r="N88" s="241">
        <f t="shared" si="21"/>
        <v>0</v>
      </c>
      <c r="O88" s="241">
        <f t="shared" si="21"/>
        <v>0</v>
      </c>
      <c r="P88" s="241">
        <f t="shared" si="21"/>
        <v>0</v>
      </c>
      <c r="Q88" s="241">
        <f t="shared" si="21"/>
        <v>0</v>
      </c>
      <c r="R88" s="241">
        <f t="shared" si="21"/>
        <v>0</v>
      </c>
      <c r="S88" s="241">
        <f t="shared" si="21"/>
        <v>0</v>
      </c>
      <c r="T88" s="241">
        <f t="shared" si="21"/>
        <v>0</v>
      </c>
      <c r="U88" s="241">
        <f t="shared" si="21"/>
        <v>0</v>
      </c>
      <c r="V88" s="241">
        <f t="shared" si="21"/>
        <v>0</v>
      </c>
      <c r="W88" s="241">
        <f t="shared" si="21"/>
        <v>0</v>
      </c>
      <c r="X88" s="241">
        <f t="shared" si="21"/>
        <v>0</v>
      </c>
      <c r="Y88" s="241">
        <f t="shared" si="21"/>
        <v>0</v>
      </c>
      <c r="Z88" s="241">
        <f t="shared" si="21"/>
        <v>0</v>
      </c>
      <c r="AA88" s="241">
        <f t="shared" si="21"/>
        <v>0</v>
      </c>
      <c r="AB88" s="241">
        <f t="shared" si="21"/>
        <v>0</v>
      </c>
      <c r="AC88" s="241">
        <f t="shared" si="21"/>
        <v>0</v>
      </c>
      <c r="AD88" s="241">
        <f t="shared" si="21"/>
        <v>0</v>
      </c>
      <c r="AE88" s="241">
        <f t="shared" si="21"/>
        <v>0</v>
      </c>
      <c r="AF88" s="241">
        <f t="shared" si="21"/>
        <v>0</v>
      </c>
      <c r="AG88" s="261"/>
      <c r="AH88" s="226">
        <f t="shared" si="13"/>
        <v>0</v>
      </c>
      <c r="AI88" s="227">
        <f t="shared" si="15"/>
        <v>-450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>
        <v>49.98</v>
      </c>
      <c r="C89" s="269">
        <v>49.97</v>
      </c>
      <c r="D89" s="269">
        <v>49.99</v>
      </c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70"/>
      <c r="AH89" s="226">
        <f t="shared" si="13"/>
        <v>49.99</v>
      </c>
      <c r="AI89" s="227">
        <f t="shared" si="15"/>
        <v>49.97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>
        <v>125</v>
      </c>
      <c r="C90" s="245">
        <v>125</v>
      </c>
      <c r="D90" s="245">
        <v>126</v>
      </c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72"/>
      <c r="AH90" s="226">
        <f t="shared" si="13"/>
        <v>126</v>
      </c>
      <c r="AI90" s="227">
        <f t="shared" si="15"/>
        <v>125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>
        <v>129</v>
      </c>
      <c r="C91" s="245">
        <v>129</v>
      </c>
      <c r="D91" s="245">
        <v>130</v>
      </c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72"/>
      <c r="AH91" s="226">
        <f t="shared" si="13"/>
        <v>130</v>
      </c>
      <c r="AI91" s="227">
        <f t="shared" si="15"/>
        <v>129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>
        <v>130</v>
      </c>
      <c r="C92" s="245">
        <v>130</v>
      </c>
      <c r="D92" s="245">
        <v>13</v>
      </c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72"/>
      <c r="AH92" s="226">
        <f t="shared" si="13"/>
        <v>130</v>
      </c>
      <c r="AI92" s="227">
        <f t="shared" si="15"/>
        <v>13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>
        <v>133</v>
      </c>
      <c r="C93" s="245">
        <v>133</v>
      </c>
      <c r="D93" s="245">
        <v>135</v>
      </c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135</v>
      </c>
      <c r="AI93" s="227">
        <f t="shared" si="15"/>
        <v>133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>
        <v>131</v>
      </c>
      <c r="C94" s="274">
        <v>131</v>
      </c>
      <c r="D94" s="274">
        <v>1133</v>
      </c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  <c r="AF94" s="274"/>
      <c r="AG94" s="275"/>
      <c r="AH94" s="226">
        <f t="shared" si="13"/>
        <v>1133</v>
      </c>
      <c r="AI94" s="227">
        <f t="shared" si="15"/>
        <v>131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>
        <v>130</v>
      </c>
      <c r="C95" s="245">
        <v>130</v>
      </c>
      <c r="D95" s="245">
        <v>34</v>
      </c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72"/>
      <c r="AH95" s="226">
        <f t="shared" si="13"/>
        <v>130</v>
      </c>
      <c r="AI95" s="227">
        <f t="shared" si="15"/>
        <v>34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>
        <v>65.400000000000006</v>
      </c>
      <c r="C96" s="276">
        <v>65.400000000000006</v>
      </c>
      <c r="D96" s="276">
        <v>65.8</v>
      </c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  <c r="AE96" s="276"/>
      <c r="AF96" s="276"/>
      <c r="AG96" s="277"/>
      <c r="AH96" s="226">
        <f t="shared" si="13"/>
        <v>65.8</v>
      </c>
      <c r="AI96" s="227">
        <f t="shared" si="15"/>
        <v>65.400000000000006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SUM(B15,B18,B21:B22,B46,B48:B49,B51,B53,B99:B103,B125,B131,B137,B146,B148,B160,B167,B170:B171,B178,B180,B182,B186:B188,B190:B192,B197,B203:B204,B206:B208,B216,B221)</f>
        <v>39.699999999999989</v>
      </c>
      <c r="C98" s="280">
        <f t="shared" si="22"/>
        <v>47.639999999999986</v>
      </c>
      <c r="D98" s="280">
        <f t="shared" si="22"/>
        <v>35.639999999999986</v>
      </c>
      <c r="E98" s="280">
        <f t="shared" si="22"/>
        <v>0.94</v>
      </c>
      <c r="F98" s="280">
        <f t="shared" si="22"/>
        <v>0.94</v>
      </c>
      <c r="G98" s="280">
        <f t="shared" si="22"/>
        <v>0.94</v>
      </c>
      <c r="H98" s="280">
        <f t="shared" si="22"/>
        <v>0.94</v>
      </c>
      <c r="I98" s="280">
        <f t="shared" si="22"/>
        <v>0.94</v>
      </c>
      <c r="J98" s="280">
        <f t="shared" si="22"/>
        <v>0.94</v>
      </c>
      <c r="K98" s="280">
        <f t="shared" si="22"/>
        <v>0.94</v>
      </c>
      <c r="L98" s="280">
        <f t="shared" si="22"/>
        <v>0.94</v>
      </c>
      <c r="M98" s="280">
        <f t="shared" si="22"/>
        <v>0.94</v>
      </c>
      <c r="N98" s="280">
        <f t="shared" si="22"/>
        <v>0.94</v>
      </c>
      <c r="O98" s="280">
        <f t="shared" si="22"/>
        <v>0.94</v>
      </c>
      <c r="P98" s="280">
        <f t="shared" si="22"/>
        <v>0.94</v>
      </c>
      <c r="Q98" s="280">
        <f t="shared" si="22"/>
        <v>0</v>
      </c>
      <c r="R98" s="280">
        <f t="shared" si="22"/>
        <v>0</v>
      </c>
      <c r="S98" s="280">
        <f t="shared" si="22"/>
        <v>0</v>
      </c>
      <c r="T98" s="280">
        <f t="shared" si="22"/>
        <v>0</v>
      </c>
      <c r="U98" s="280">
        <f t="shared" si="22"/>
        <v>0</v>
      </c>
      <c r="V98" s="280">
        <f t="shared" si="22"/>
        <v>0</v>
      </c>
      <c r="W98" s="280">
        <f t="shared" si="22"/>
        <v>0</v>
      </c>
      <c r="X98" s="280">
        <f t="shared" si="22"/>
        <v>0</v>
      </c>
      <c r="Y98" s="280">
        <f t="shared" si="22"/>
        <v>0</v>
      </c>
      <c r="Z98" s="280">
        <f t="shared" si="22"/>
        <v>0</v>
      </c>
      <c r="AA98" s="280">
        <f t="shared" si="22"/>
        <v>0</v>
      </c>
      <c r="AB98" s="280">
        <f t="shared" si="22"/>
        <v>0</v>
      </c>
      <c r="AC98" s="280">
        <f t="shared" si="22"/>
        <v>0</v>
      </c>
      <c r="AD98" s="280">
        <f t="shared" si="22"/>
        <v>0</v>
      </c>
      <c r="AE98" s="280">
        <f t="shared" si="22"/>
        <v>0</v>
      </c>
      <c r="AF98" s="280">
        <f t="shared" si="22"/>
        <v>0</v>
      </c>
      <c r="AG98" s="281"/>
      <c r="AH98" s="226">
        <f>MAX(C98:AF98)</f>
        <v>47.639999999999986</v>
      </c>
      <c r="AI98" s="227">
        <f>MIN(C98:AF98)</f>
        <v>0</v>
      </c>
    </row>
    <row r="99" spans="1:37" x14ac:dyDescent="0.25">
      <c r="A99" s="268" t="s">
        <v>103</v>
      </c>
      <c r="B99" s="282">
        <v>7</v>
      </c>
      <c r="C99" s="282">
        <v>10</v>
      </c>
      <c r="D99" s="282">
        <v>9</v>
      </c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3">
        <v>75</v>
      </c>
      <c r="AH99" s="226">
        <f t="shared" ref="AH99:AH107" si="23">IF(ABS(MAX(C99:AF99))&gt;ABS(MIN(C99:AF99)),MAX(C99:AF99),MIN(C99:AF99))</f>
        <v>10</v>
      </c>
      <c r="AI99" s="284">
        <f t="shared" ref="AI99:AI107" si="24">INDEX($C$9:$AF$9,1,MATCH(AH99,C99:AF99,0))</f>
        <v>4.1666666666666664E-2</v>
      </c>
    </row>
    <row r="100" spans="1:37" x14ac:dyDescent="0.25">
      <c r="A100" s="271" t="s">
        <v>269</v>
      </c>
      <c r="B100" s="285">
        <v>20</v>
      </c>
      <c r="C100" s="285">
        <v>24</v>
      </c>
      <c r="D100" s="285">
        <v>22</v>
      </c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85"/>
      <c r="AG100" s="283">
        <v>240</v>
      </c>
      <c r="AH100" s="226">
        <f t="shared" si="23"/>
        <v>24</v>
      </c>
      <c r="AI100" s="284">
        <f t="shared" si="24"/>
        <v>4.1666666666666664E-2</v>
      </c>
    </row>
    <row r="101" spans="1:37" x14ac:dyDescent="0.25">
      <c r="A101" s="271" t="s">
        <v>104</v>
      </c>
      <c r="B101" s="285">
        <v>-125</v>
      </c>
      <c r="C101" s="285">
        <v>-125</v>
      </c>
      <c r="D101" s="285">
        <v>-130</v>
      </c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3">
        <v>240</v>
      </c>
      <c r="AH101" s="226">
        <f t="shared" si="23"/>
        <v>-130</v>
      </c>
      <c r="AI101" s="284">
        <f t="shared" si="24"/>
        <v>8.3333333333333301E-2</v>
      </c>
    </row>
    <row r="102" spans="1:37" x14ac:dyDescent="0.25">
      <c r="A102" s="271" t="s">
        <v>105</v>
      </c>
      <c r="B102" s="285">
        <v>-2</v>
      </c>
      <c r="C102" s="285">
        <v>-2</v>
      </c>
      <c r="D102" s="285">
        <v>-3</v>
      </c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5"/>
      <c r="AE102" s="285"/>
      <c r="AF102" s="285"/>
      <c r="AG102" s="283">
        <v>60</v>
      </c>
      <c r="AH102" s="226">
        <f t="shared" si="23"/>
        <v>-3</v>
      </c>
      <c r="AI102" s="284">
        <f t="shared" si="24"/>
        <v>8.3333333333333301E-2</v>
      </c>
    </row>
    <row r="103" spans="1:37" x14ac:dyDescent="0.25">
      <c r="A103" s="286" t="s">
        <v>106</v>
      </c>
      <c r="B103" s="287">
        <v>0</v>
      </c>
      <c r="C103" s="287">
        <v>0</v>
      </c>
      <c r="D103" s="287">
        <v>0</v>
      </c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8">
        <v>120</v>
      </c>
      <c r="AH103" s="226">
        <f t="shared" si="23"/>
        <v>0</v>
      </c>
      <c r="AI103" s="284">
        <f t="shared" si="24"/>
        <v>4.1666666666666664E-2</v>
      </c>
    </row>
    <row r="104" spans="1:37" x14ac:dyDescent="0.25">
      <c r="A104" s="286" t="s">
        <v>107</v>
      </c>
      <c r="B104" s="287">
        <v>3</v>
      </c>
      <c r="C104" s="287">
        <v>7</v>
      </c>
      <c r="D104" s="287">
        <v>0</v>
      </c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8"/>
      <c r="AH104" s="226">
        <f t="shared" si="23"/>
        <v>7</v>
      </c>
      <c r="AI104" s="284">
        <f t="shared" si="24"/>
        <v>4.1666666666666664E-2</v>
      </c>
    </row>
    <row r="105" spans="1:37" x14ac:dyDescent="0.25">
      <c r="A105" s="286" t="s">
        <v>108</v>
      </c>
      <c r="B105" s="287">
        <v>30</v>
      </c>
      <c r="C105" s="287">
        <v>21</v>
      </c>
      <c r="D105" s="287">
        <v>22</v>
      </c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9"/>
      <c r="AH105" s="226">
        <f t="shared" si="23"/>
        <v>22</v>
      </c>
      <c r="AI105" s="284">
        <f t="shared" si="24"/>
        <v>8.3333333333333301E-2</v>
      </c>
    </row>
    <row r="106" spans="1:37" x14ac:dyDescent="0.25">
      <c r="A106" s="290" t="s">
        <v>109</v>
      </c>
      <c r="B106" s="274">
        <v>118</v>
      </c>
      <c r="C106" s="274">
        <v>76</v>
      </c>
      <c r="D106" s="274">
        <v>82</v>
      </c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89"/>
      <c r="AH106" s="226">
        <f t="shared" si="23"/>
        <v>82</v>
      </c>
      <c r="AI106" s="284">
        <f t="shared" si="24"/>
        <v>8.3333333333333301E-2</v>
      </c>
    </row>
    <row r="107" spans="1:37" ht="15.75" thickBot="1" x14ac:dyDescent="0.3">
      <c r="A107" s="290" t="s">
        <v>110</v>
      </c>
      <c r="B107" s="274">
        <v>80</v>
      </c>
      <c r="C107" s="274">
        <v>82</v>
      </c>
      <c r="D107" s="274">
        <v>90</v>
      </c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  <c r="AE107" s="274"/>
      <c r="AF107" s="274"/>
      <c r="AG107" s="289"/>
      <c r="AH107" s="226">
        <f t="shared" si="23"/>
        <v>90</v>
      </c>
      <c r="AI107" s="284">
        <f t="shared" si="24"/>
        <v>8.3333333333333301E-2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25">SUM(C109:C213)</f>
        <v>0</v>
      </c>
      <c r="D214" s="307">
        <f t="shared" si="25"/>
        <v>0</v>
      </c>
      <c r="E214" s="307">
        <f t="shared" si="25"/>
        <v>0</v>
      </c>
      <c r="F214" s="307">
        <f t="shared" si="25"/>
        <v>0</v>
      </c>
      <c r="G214" s="307">
        <f t="shared" si="25"/>
        <v>0</v>
      </c>
      <c r="H214" s="307">
        <f t="shared" si="25"/>
        <v>0</v>
      </c>
      <c r="I214" s="307">
        <f t="shared" si="25"/>
        <v>0</v>
      </c>
      <c r="J214" s="307">
        <f t="shared" si="25"/>
        <v>0</v>
      </c>
      <c r="K214" s="307">
        <f t="shared" si="25"/>
        <v>0</v>
      </c>
      <c r="L214" s="307">
        <f t="shared" si="25"/>
        <v>0</v>
      </c>
      <c r="M214" s="307">
        <f t="shared" si="25"/>
        <v>0</v>
      </c>
      <c r="N214" s="307">
        <f t="shared" si="25"/>
        <v>0</v>
      </c>
      <c r="O214" s="307">
        <f t="shared" si="25"/>
        <v>0</v>
      </c>
      <c r="P214" s="307">
        <f t="shared" si="25"/>
        <v>0</v>
      </c>
      <c r="Q214" s="307">
        <f t="shared" si="25"/>
        <v>0</v>
      </c>
      <c r="R214" s="307">
        <f t="shared" si="25"/>
        <v>0</v>
      </c>
      <c r="S214" s="307">
        <f t="shared" si="25"/>
        <v>0</v>
      </c>
      <c r="T214" s="307">
        <f t="shared" si="25"/>
        <v>0</v>
      </c>
      <c r="U214" s="307">
        <f t="shared" si="25"/>
        <v>0</v>
      </c>
      <c r="V214" s="307">
        <f t="shared" si="25"/>
        <v>0</v>
      </c>
      <c r="W214" s="307">
        <f t="shared" si="25"/>
        <v>0</v>
      </c>
      <c r="X214" s="307">
        <f t="shared" si="25"/>
        <v>0</v>
      </c>
      <c r="Y214" s="307">
        <f t="shared" si="25"/>
        <v>0</v>
      </c>
      <c r="Z214" s="307">
        <f t="shared" si="25"/>
        <v>0</v>
      </c>
      <c r="AA214" s="307">
        <f t="shared" si="25"/>
        <v>0</v>
      </c>
      <c r="AB214" s="307">
        <f t="shared" si="25"/>
        <v>0</v>
      </c>
      <c r="AC214" s="307">
        <f t="shared" si="25"/>
        <v>0</v>
      </c>
      <c r="AD214" s="307">
        <f t="shared" si="25"/>
        <v>0</v>
      </c>
      <c r="AE214" s="307">
        <f t="shared" si="25"/>
        <v>0</v>
      </c>
      <c r="AF214" s="308">
        <f t="shared" si="25"/>
        <v>0</v>
      </c>
      <c r="AG214" s="309">
        <f t="shared" si="25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26">AF216</f>
        <v>0</v>
      </c>
      <c r="C216" s="312">
        <v>0.3</v>
      </c>
      <c r="D216" s="312">
        <f t="shared" ref="D216:P221" si="27">C216</f>
        <v>0.3</v>
      </c>
      <c r="E216" s="312">
        <f t="shared" si="27"/>
        <v>0.3</v>
      </c>
      <c r="F216" s="312">
        <f t="shared" si="27"/>
        <v>0.3</v>
      </c>
      <c r="G216" s="312">
        <f t="shared" si="27"/>
        <v>0.3</v>
      </c>
      <c r="H216" s="312">
        <f t="shared" si="27"/>
        <v>0.3</v>
      </c>
      <c r="I216" s="312">
        <f t="shared" si="27"/>
        <v>0.3</v>
      </c>
      <c r="J216" s="312">
        <f t="shared" si="27"/>
        <v>0.3</v>
      </c>
      <c r="K216" s="312">
        <f t="shared" si="27"/>
        <v>0.3</v>
      </c>
      <c r="L216" s="312">
        <f t="shared" si="27"/>
        <v>0.3</v>
      </c>
      <c r="M216" s="312">
        <f t="shared" si="27"/>
        <v>0.3</v>
      </c>
      <c r="N216" s="312">
        <f t="shared" si="27"/>
        <v>0.3</v>
      </c>
      <c r="O216" s="312">
        <f t="shared" si="27"/>
        <v>0.3</v>
      </c>
      <c r="P216" s="312">
        <f t="shared" si="27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26"/>
        <v>0</v>
      </c>
      <c r="C217" s="299">
        <v>0.4</v>
      </c>
      <c r="D217" s="299">
        <f t="shared" si="27"/>
        <v>0.4</v>
      </c>
      <c r="E217" s="299">
        <f t="shared" si="27"/>
        <v>0.4</v>
      </c>
      <c r="F217" s="299">
        <f t="shared" si="27"/>
        <v>0.4</v>
      </c>
      <c r="G217" s="299">
        <f t="shared" si="27"/>
        <v>0.4</v>
      </c>
      <c r="H217" s="299">
        <f t="shared" si="27"/>
        <v>0.4</v>
      </c>
      <c r="I217" s="299">
        <f t="shared" si="27"/>
        <v>0.4</v>
      </c>
      <c r="J217" s="299">
        <f t="shared" si="27"/>
        <v>0.4</v>
      </c>
      <c r="K217" s="299">
        <f t="shared" si="27"/>
        <v>0.4</v>
      </c>
      <c r="L217" s="299">
        <f t="shared" si="27"/>
        <v>0.4</v>
      </c>
      <c r="M217" s="299">
        <f t="shared" si="27"/>
        <v>0.4</v>
      </c>
      <c r="N217" s="299">
        <f t="shared" si="27"/>
        <v>0.4</v>
      </c>
      <c r="O217" s="299">
        <f t="shared" si="27"/>
        <v>0.4</v>
      </c>
      <c r="P217" s="299">
        <f t="shared" si="27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26"/>
        <v>0</v>
      </c>
      <c r="C218" s="299">
        <v>1.5</v>
      </c>
      <c r="D218" s="299">
        <f t="shared" si="27"/>
        <v>1.5</v>
      </c>
      <c r="E218" s="299">
        <f t="shared" si="27"/>
        <v>1.5</v>
      </c>
      <c r="F218" s="299">
        <f t="shared" si="27"/>
        <v>1.5</v>
      </c>
      <c r="G218" s="299">
        <f t="shared" si="27"/>
        <v>1.5</v>
      </c>
      <c r="H218" s="299">
        <f t="shared" si="27"/>
        <v>1.5</v>
      </c>
      <c r="I218" s="299">
        <f t="shared" si="27"/>
        <v>1.5</v>
      </c>
      <c r="J218" s="299">
        <f t="shared" si="27"/>
        <v>1.5</v>
      </c>
      <c r="K218" s="299">
        <f t="shared" si="27"/>
        <v>1.5</v>
      </c>
      <c r="L218" s="299">
        <f t="shared" si="27"/>
        <v>1.5</v>
      </c>
      <c r="M218" s="299">
        <f t="shared" si="27"/>
        <v>1.5</v>
      </c>
      <c r="N218" s="299">
        <f t="shared" si="27"/>
        <v>1.5</v>
      </c>
      <c r="O218" s="299">
        <f t="shared" si="27"/>
        <v>1.5</v>
      </c>
      <c r="P218" s="299">
        <f t="shared" si="27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26"/>
        <v>0</v>
      </c>
      <c r="C219" s="299">
        <v>0.3</v>
      </c>
      <c r="D219" s="299">
        <f t="shared" si="27"/>
        <v>0.3</v>
      </c>
      <c r="E219" s="299">
        <f t="shared" si="27"/>
        <v>0.3</v>
      </c>
      <c r="F219" s="299">
        <f t="shared" si="27"/>
        <v>0.3</v>
      </c>
      <c r="G219" s="299">
        <f t="shared" si="27"/>
        <v>0.3</v>
      </c>
      <c r="H219" s="299">
        <f t="shared" si="27"/>
        <v>0.3</v>
      </c>
      <c r="I219" s="299">
        <f t="shared" si="27"/>
        <v>0.3</v>
      </c>
      <c r="J219" s="299">
        <f t="shared" si="27"/>
        <v>0.3</v>
      </c>
      <c r="K219" s="299">
        <f t="shared" si="27"/>
        <v>0.3</v>
      </c>
      <c r="L219" s="299">
        <f t="shared" si="27"/>
        <v>0.3</v>
      </c>
      <c r="M219" s="299">
        <f t="shared" si="27"/>
        <v>0.3</v>
      </c>
      <c r="N219" s="299">
        <f t="shared" si="27"/>
        <v>0.3</v>
      </c>
      <c r="O219" s="299">
        <f t="shared" si="27"/>
        <v>0.3</v>
      </c>
      <c r="P219" s="299">
        <f t="shared" si="27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26"/>
        <v>0</v>
      </c>
      <c r="C220" s="299">
        <v>0.4</v>
      </c>
      <c r="D220" s="299">
        <f t="shared" si="27"/>
        <v>0.4</v>
      </c>
      <c r="E220" s="299">
        <f t="shared" si="27"/>
        <v>0.4</v>
      </c>
      <c r="F220" s="299">
        <f t="shared" si="27"/>
        <v>0.4</v>
      </c>
      <c r="G220" s="299">
        <f t="shared" si="27"/>
        <v>0.4</v>
      </c>
      <c r="H220" s="299">
        <f t="shared" si="27"/>
        <v>0.4</v>
      </c>
      <c r="I220" s="299">
        <f t="shared" si="27"/>
        <v>0.4</v>
      </c>
      <c r="J220" s="299">
        <f t="shared" si="27"/>
        <v>0.4</v>
      </c>
      <c r="K220" s="299">
        <f t="shared" si="27"/>
        <v>0.4</v>
      </c>
      <c r="L220" s="299">
        <f t="shared" si="27"/>
        <v>0.4</v>
      </c>
      <c r="M220" s="299">
        <f t="shared" si="27"/>
        <v>0.4</v>
      </c>
      <c r="N220" s="299">
        <f t="shared" si="27"/>
        <v>0.4</v>
      </c>
      <c r="O220" s="299">
        <f t="shared" si="27"/>
        <v>0.4</v>
      </c>
      <c r="P220" s="299">
        <f t="shared" si="27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26"/>
        <v>0</v>
      </c>
      <c r="C221" s="303">
        <v>0.64</v>
      </c>
      <c r="D221" s="303">
        <f t="shared" si="27"/>
        <v>0.64</v>
      </c>
      <c r="E221" s="303">
        <f t="shared" si="27"/>
        <v>0.64</v>
      </c>
      <c r="F221" s="303">
        <f t="shared" si="27"/>
        <v>0.64</v>
      </c>
      <c r="G221" s="303">
        <f t="shared" si="27"/>
        <v>0.64</v>
      </c>
      <c r="H221" s="303">
        <f t="shared" si="27"/>
        <v>0.64</v>
      </c>
      <c r="I221" s="303">
        <f t="shared" si="27"/>
        <v>0.64</v>
      </c>
      <c r="J221" s="303">
        <f t="shared" si="27"/>
        <v>0.64</v>
      </c>
      <c r="K221" s="303">
        <f t="shared" si="27"/>
        <v>0.64</v>
      </c>
      <c r="L221" s="303">
        <f t="shared" si="27"/>
        <v>0.64</v>
      </c>
      <c r="M221" s="303">
        <f t="shared" si="27"/>
        <v>0.64</v>
      </c>
      <c r="N221" s="303">
        <f t="shared" si="27"/>
        <v>0.64</v>
      </c>
      <c r="O221" s="303">
        <f t="shared" si="27"/>
        <v>0.64</v>
      </c>
      <c r="P221" s="303">
        <f t="shared" si="27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28">SUM(D216:D221)</f>
        <v>3.54</v>
      </c>
      <c r="E222" s="307">
        <f t="shared" si="28"/>
        <v>3.54</v>
      </c>
      <c r="F222" s="307">
        <f t="shared" si="28"/>
        <v>3.54</v>
      </c>
      <c r="G222" s="307">
        <f t="shared" si="28"/>
        <v>3.54</v>
      </c>
      <c r="H222" s="307">
        <f t="shared" si="28"/>
        <v>3.54</v>
      </c>
      <c r="I222" s="307">
        <f t="shared" si="28"/>
        <v>3.54</v>
      </c>
      <c r="J222" s="307">
        <f t="shared" si="28"/>
        <v>3.54</v>
      </c>
      <c r="K222" s="307">
        <f t="shared" si="28"/>
        <v>3.54</v>
      </c>
      <c r="L222" s="307">
        <f t="shared" si="28"/>
        <v>3.54</v>
      </c>
      <c r="M222" s="307">
        <f>SUM(M216:M221)</f>
        <v>3.54</v>
      </c>
      <c r="N222" s="307">
        <f t="shared" ref="N222:S222" si="29">SUM(N216:N221)</f>
        <v>3.54</v>
      </c>
      <c r="O222" s="307">
        <f t="shared" si="29"/>
        <v>3.54</v>
      </c>
      <c r="P222" s="307">
        <f t="shared" si="29"/>
        <v>3.54</v>
      </c>
      <c r="Q222" s="307">
        <f t="shared" si="29"/>
        <v>0</v>
      </c>
      <c r="R222" s="307">
        <f t="shared" si="29"/>
        <v>0</v>
      </c>
      <c r="S222" s="307">
        <f t="shared" si="29"/>
        <v>0</v>
      </c>
      <c r="T222" s="307">
        <f>SUM(T216:T221)</f>
        <v>0</v>
      </c>
      <c r="U222" s="307">
        <f t="shared" ref="U222:AG222" si="30">SUM(U216:U221)</f>
        <v>0</v>
      </c>
      <c r="V222" s="307">
        <f t="shared" si="30"/>
        <v>0</v>
      </c>
      <c r="W222" s="307">
        <f t="shared" si="30"/>
        <v>0</v>
      </c>
      <c r="X222" s="307">
        <f t="shared" si="30"/>
        <v>0</v>
      </c>
      <c r="Y222" s="307">
        <f t="shared" si="30"/>
        <v>0</v>
      </c>
      <c r="Z222" s="307">
        <f t="shared" si="30"/>
        <v>0</v>
      </c>
      <c r="AA222" s="307">
        <f t="shared" si="30"/>
        <v>0</v>
      </c>
      <c r="AB222" s="307">
        <f t="shared" si="30"/>
        <v>0</v>
      </c>
      <c r="AC222" s="307">
        <f t="shared" si="30"/>
        <v>0</v>
      </c>
      <c r="AD222" s="307">
        <f t="shared" si="30"/>
        <v>0</v>
      </c>
      <c r="AE222" s="307">
        <f t="shared" si="30"/>
        <v>0</v>
      </c>
      <c r="AF222" s="307">
        <f t="shared" si="30"/>
        <v>0</v>
      </c>
      <c r="AG222" s="317">
        <f t="shared" si="30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3.54</v>
      </c>
      <c r="C231" s="333">
        <f>INDEX(G9:N9,1,MATCH(MAX(G79:N79),G79:N79,0))</f>
        <v>0.20833333333333301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Asoj1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e">
        <f ca="1">"Pie Chart of Daily Peak Demand(Inclusive of Export) of Nepal ("&amp;A4&amp;" "&amp;B4&amp;")"</f>
        <v>#VALUE!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e">
        <f ca="1">"Daily Load Curve(Excluding of Export) of Nepal ("&amp;A4&amp;" "&amp;B4&amp;")"</f>
        <v>#VALUE!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31">B79</f>
        <v>1464.14</v>
      </c>
      <c r="U236" s="343">
        <f t="shared" si="31"/>
        <v>1468.04</v>
      </c>
      <c r="V236" s="343">
        <f t="shared" si="31"/>
        <v>1460.04</v>
      </c>
      <c r="W236" s="343">
        <f t="shared" si="31"/>
        <v>3.54</v>
      </c>
      <c r="X236" s="343">
        <f t="shared" si="31"/>
        <v>3.54</v>
      </c>
      <c r="Y236" s="343">
        <f t="shared" si="31"/>
        <v>3.54</v>
      </c>
      <c r="Z236" s="343">
        <f t="shared" si="31"/>
        <v>3.54</v>
      </c>
      <c r="AA236" s="343">
        <f t="shared" si="31"/>
        <v>3.54</v>
      </c>
      <c r="AB236" s="343">
        <f t="shared" si="31"/>
        <v>3.54</v>
      </c>
      <c r="AC236" s="343">
        <f t="shared" si="31"/>
        <v>3.54</v>
      </c>
      <c r="AD236" s="343">
        <f t="shared" si="31"/>
        <v>3.54</v>
      </c>
      <c r="AE236" s="343">
        <f t="shared" si="31"/>
        <v>3.54</v>
      </c>
      <c r="AF236" s="343">
        <f t="shared" si="31"/>
        <v>3.54</v>
      </c>
      <c r="AG236" s="343">
        <f t="shared" si="31"/>
        <v>3.54</v>
      </c>
      <c r="AH236" s="343">
        <f t="shared" si="31"/>
        <v>3.54</v>
      </c>
      <c r="AI236" s="343">
        <f t="shared" si="31"/>
        <v>3.54</v>
      </c>
      <c r="AJ236" s="343">
        <f t="shared" si="31"/>
        <v>3.54</v>
      </c>
      <c r="AK236" s="343">
        <f t="shared" si="31"/>
        <v>3.54</v>
      </c>
      <c r="AL236" s="343">
        <f t="shared" si="31"/>
        <v>3.54</v>
      </c>
      <c r="AM236" s="343">
        <f t="shared" si="31"/>
        <v>3.54</v>
      </c>
      <c r="AN236" s="343">
        <f t="shared" si="31"/>
        <v>3.54</v>
      </c>
      <c r="AO236" s="343">
        <f t="shared" si="31"/>
        <v>3.54</v>
      </c>
      <c r="AP236" s="343">
        <f t="shared" si="31"/>
        <v>3.54</v>
      </c>
      <c r="AQ236" s="343">
        <f t="shared" si="31"/>
        <v>3.54</v>
      </c>
      <c r="AR236" s="343">
        <f t="shared" si="31"/>
        <v>3.54</v>
      </c>
      <c r="AS236" s="343">
        <f t="shared" si="31"/>
        <v>3.54</v>
      </c>
      <c r="AT236" s="343">
        <f t="shared" si="31"/>
        <v>3.54</v>
      </c>
      <c r="AU236" s="343">
        <f t="shared" si="31"/>
        <v>3.54</v>
      </c>
      <c r="AV236" s="343">
        <f t="shared" si="31"/>
        <v>3.54</v>
      </c>
      <c r="AW236" s="343">
        <f t="shared" si="31"/>
        <v>3.54</v>
      </c>
      <c r="AX236" s="343">
        <f t="shared" si="31"/>
        <v>3.54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32">C221</f>
        <v>0.64</v>
      </c>
      <c r="C257" s="346">
        <f t="shared" si="32"/>
        <v>0.64</v>
      </c>
      <c r="D257" s="346">
        <f t="shared" si="32"/>
        <v>0.64</v>
      </c>
      <c r="E257" s="346">
        <f t="shared" si="32"/>
        <v>0.64</v>
      </c>
      <c r="F257" s="346">
        <f t="shared" si="32"/>
        <v>0.64</v>
      </c>
      <c r="G257" s="346">
        <f t="shared" si="32"/>
        <v>0.64</v>
      </c>
      <c r="H257" s="346">
        <f t="shared" si="32"/>
        <v>0.64</v>
      </c>
      <c r="I257" s="346">
        <f t="shared" si="32"/>
        <v>0.64</v>
      </c>
      <c r="J257" s="346">
        <f t="shared" si="32"/>
        <v>0.64</v>
      </c>
      <c r="K257" s="346">
        <f t="shared" si="32"/>
        <v>0.64</v>
      </c>
      <c r="L257" s="346">
        <f t="shared" si="32"/>
        <v>0.64</v>
      </c>
      <c r="M257" s="346">
        <f t="shared" si="32"/>
        <v>0.64</v>
      </c>
      <c r="N257" s="346">
        <f t="shared" si="32"/>
        <v>0.64</v>
      </c>
      <c r="O257" s="346">
        <f t="shared" si="32"/>
        <v>0.64</v>
      </c>
      <c r="P257" s="346">
        <f t="shared" si="32"/>
        <v>0</v>
      </c>
      <c r="Q257" s="346">
        <f t="shared" si="32"/>
        <v>0</v>
      </c>
      <c r="R257" s="346">
        <f t="shared" si="32"/>
        <v>0</v>
      </c>
      <c r="S257" s="346">
        <f t="shared" si="32"/>
        <v>0</v>
      </c>
      <c r="T257" s="346">
        <f t="shared" si="32"/>
        <v>0</v>
      </c>
      <c r="U257" s="346">
        <f t="shared" si="32"/>
        <v>0</v>
      </c>
      <c r="V257" s="346">
        <f t="shared" si="32"/>
        <v>0</v>
      </c>
      <c r="W257" s="346">
        <f t="shared" si="32"/>
        <v>0</v>
      </c>
      <c r="X257" s="346">
        <f t="shared" si="32"/>
        <v>0</v>
      </c>
      <c r="Y257" s="346">
        <f t="shared" si="32"/>
        <v>0</v>
      </c>
      <c r="Z257" s="346">
        <f t="shared" si="32"/>
        <v>0</v>
      </c>
      <c r="AA257" s="346">
        <f t="shared" si="32"/>
        <v>0</v>
      </c>
      <c r="AB257" s="346">
        <f t="shared" si="32"/>
        <v>0</v>
      </c>
      <c r="AC257" s="346">
        <f t="shared" si="32"/>
        <v>0</v>
      </c>
      <c r="AD257" s="346">
        <f t="shared" si="32"/>
        <v>0</v>
      </c>
      <c r="AE257" s="346">
        <f t="shared" si="32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33">IF(C225&lt;100,"",C225-520)</f>
        <v/>
      </c>
      <c r="D258" s="347" t="str">
        <f t="shared" si="33"/>
        <v/>
      </c>
      <c r="E258" s="347" t="str">
        <f t="shared" si="33"/>
        <v/>
      </c>
      <c r="F258" s="347" t="str">
        <f t="shared" si="33"/>
        <v/>
      </c>
      <c r="G258" s="347" t="str">
        <f t="shared" si="33"/>
        <v/>
      </c>
      <c r="H258" s="347" t="str">
        <f t="shared" si="33"/>
        <v/>
      </c>
      <c r="I258" s="347" t="str">
        <f t="shared" si="33"/>
        <v/>
      </c>
      <c r="J258" s="347" t="str">
        <f t="shared" si="33"/>
        <v/>
      </c>
      <c r="K258" s="347" t="str">
        <f t="shared" si="33"/>
        <v/>
      </c>
      <c r="L258" s="347" t="str">
        <f t="shared" si="33"/>
        <v/>
      </c>
      <c r="M258" s="347" t="str">
        <f t="shared" si="33"/>
        <v/>
      </c>
      <c r="N258" s="347" t="str">
        <f t="shared" si="33"/>
        <v/>
      </c>
      <c r="O258" s="347" t="str">
        <f t="shared" si="33"/>
        <v/>
      </c>
      <c r="P258" s="347" t="str">
        <f t="shared" si="33"/>
        <v/>
      </c>
      <c r="Q258" s="347" t="str">
        <f t="shared" si="33"/>
        <v/>
      </c>
      <c r="R258" s="347" t="str">
        <f t="shared" si="33"/>
        <v/>
      </c>
      <c r="S258" s="347" t="str">
        <f t="shared" si="33"/>
        <v/>
      </c>
      <c r="T258" s="347" t="str">
        <f t="shared" si="33"/>
        <v/>
      </c>
      <c r="U258" s="347" t="str">
        <f t="shared" si="33"/>
        <v/>
      </c>
      <c r="V258" s="347" t="str">
        <f t="shared" si="33"/>
        <v/>
      </c>
      <c r="W258" s="347" t="str">
        <f t="shared" si="33"/>
        <v/>
      </c>
      <c r="X258" s="347" t="str">
        <f t="shared" si="33"/>
        <v/>
      </c>
      <c r="Y258" s="347" t="str">
        <f t="shared" si="33"/>
        <v/>
      </c>
      <c r="Z258" s="347" t="str">
        <f t="shared" si="33"/>
        <v/>
      </c>
      <c r="AA258" s="347" t="str">
        <f t="shared" si="33"/>
        <v/>
      </c>
      <c r="AB258" s="347" t="str">
        <f t="shared" si="33"/>
        <v/>
      </c>
      <c r="AC258" s="347" t="str">
        <f t="shared" si="33"/>
        <v/>
      </c>
      <c r="AD258" s="347" t="str">
        <f t="shared" si="33"/>
        <v/>
      </c>
      <c r="AE258" s="347" t="str">
        <f t="shared" si="33"/>
        <v/>
      </c>
      <c r="AF258" s="347" t="str">
        <f t="shared" si="33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34">IF(B226&lt;100,"",B226-620)</f>
        <v/>
      </c>
      <c r="C259" s="347" t="str">
        <f t="shared" si="34"/>
        <v/>
      </c>
      <c r="D259" s="347" t="str">
        <f t="shared" si="34"/>
        <v/>
      </c>
      <c r="E259" s="347" t="str">
        <f t="shared" si="34"/>
        <v/>
      </c>
      <c r="F259" s="347" t="str">
        <f t="shared" si="34"/>
        <v/>
      </c>
      <c r="G259" s="347" t="str">
        <f t="shared" si="34"/>
        <v/>
      </c>
      <c r="H259" s="347" t="str">
        <f t="shared" si="34"/>
        <v/>
      </c>
      <c r="I259" s="347" t="str">
        <f t="shared" si="34"/>
        <v/>
      </c>
      <c r="J259" s="347" t="str">
        <f t="shared" si="34"/>
        <v/>
      </c>
      <c r="K259" s="347" t="str">
        <f t="shared" si="34"/>
        <v/>
      </c>
      <c r="L259" s="347" t="str">
        <f t="shared" si="34"/>
        <v/>
      </c>
      <c r="M259" s="347" t="str">
        <f t="shared" si="34"/>
        <v/>
      </c>
      <c r="N259" s="347" t="str">
        <f t="shared" si="34"/>
        <v/>
      </c>
      <c r="O259" s="347" t="str">
        <f t="shared" si="34"/>
        <v/>
      </c>
      <c r="P259" s="347" t="str">
        <f t="shared" si="34"/>
        <v/>
      </c>
      <c r="Q259" s="347" t="str">
        <f t="shared" si="34"/>
        <v/>
      </c>
      <c r="R259" s="347" t="str">
        <f t="shared" si="34"/>
        <v/>
      </c>
      <c r="S259" s="347" t="str">
        <f t="shared" si="34"/>
        <v/>
      </c>
      <c r="T259" s="347" t="str">
        <f t="shared" si="34"/>
        <v/>
      </c>
      <c r="U259" s="347" t="str">
        <f t="shared" si="34"/>
        <v/>
      </c>
      <c r="V259" s="347" t="str">
        <f t="shared" si="34"/>
        <v/>
      </c>
      <c r="W259" s="347" t="str">
        <f t="shared" si="34"/>
        <v/>
      </c>
      <c r="X259" s="347" t="str">
        <f t="shared" si="34"/>
        <v/>
      </c>
      <c r="Y259" s="347" t="str">
        <f t="shared" si="34"/>
        <v/>
      </c>
      <c r="Z259" s="347" t="str">
        <f t="shared" si="34"/>
        <v/>
      </c>
      <c r="AA259" s="347" t="str">
        <f t="shared" si="34"/>
        <v/>
      </c>
      <c r="AB259" s="347" t="str">
        <f t="shared" si="34"/>
        <v/>
      </c>
      <c r="AC259" s="347" t="str">
        <f t="shared" si="34"/>
        <v/>
      </c>
      <c r="AD259" s="347" t="str">
        <f t="shared" si="34"/>
        <v/>
      </c>
      <c r="AE259" s="347" t="str">
        <f t="shared" si="34"/>
        <v/>
      </c>
      <c r="AF259" s="347" t="str">
        <f t="shared" si="34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35">IF(B227&lt;100,"",B227-330)</f>
        <v/>
      </c>
      <c r="C260" s="347" t="str">
        <f t="shared" si="35"/>
        <v/>
      </c>
      <c r="D260" s="347" t="str">
        <f t="shared" si="35"/>
        <v/>
      </c>
      <c r="E260" s="347" t="str">
        <f t="shared" si="35"/>
        <v/>
      </c>
      <c r="F260" s="347" t="str">
        <f t="shared" si="35"/>
        <v/>
      </c>
      <c r="G260" s="347" t="str">
        <f t="shared" si="35"/>
        <v/>
      </c>
      <c r="H260" s="347" t="str">
        <f t="shared" si="35"/>
        <v/>
      </c>
      <c r="I260" s="347" t="str">
        <f t="shared" si="35"/>
        <v/>
      </c>
      <c r="J260" s="347" t="str">
        <f t="shared" si="35"/>
        <v/>
      </c>
      <c r="K260" s="347" t="str">
        <f t="shared" si="35"/>
        <v/>
      </c>
      <c r="L260" s="347" t="str">
        <f t="shared" si="35"/>
        <v/>
      </c>
      <c r="M260" s="347" t="str">
        <f t="shared" si="35"/>
        <v/>
      </c>
      <c r="N260" s="347" t="str">
        <f t="shared" si="35"/>
        <v/>
      </c>
      <c r="O260" s="347" t="str">
        <f t="shared" si="35"/>
        <v/>
      </c>
      <c r="P260" s="347" t="str">
        <f t="shared" si="35"/>
        <v/>
      </c>
      <c r="Q260" s="347" t="str">
        <f t="shared" si="35"/>
        <v/>
      </c>
      <c r="R260" s="347" t="str">
        <f t="shared" si="35"/>
        <v/>
      </c>
      <c r="S260" s="347" t="str">
        <f t="shared" si="35"/>
        <v/>
      </c>
      <c r="T260" s="347" t="str">
        <f t="shared" si="35"/>
        <v/>
      </c>
      <c r="U260" s="347" t="str">
        <f t="shared" si="35"/>
        <v/>
      </c>
      <c r="V260" s="347" t="str">
        <f t="shared" si="35"/>
        <v/>
      </c>
      <c r="W260" s="347" t="str">
        <f t="shared" si="35"/>
        <v/>
      </c>
      <c r="X260" s="347" t="str">
        <f t="shared" si="35"/>
        <v/>
      </c>
      <c r="Y260" s="347" t="str">
        <f t="shared" si="35"/>
        <v/>
      </c>
      <c r="Z260" s="347" t="str">
        <f t="shared" si="35"/>
        <v/>
      </c>
      <c r="AA260" s="347" t="str">
        <f t="shared" si="35"/>
        <v/>
      </c>
      <c r="AB260" s="347" t="str">
        <f t="shared" si="35"/>
        <v/>
      </c>
      <c r="AC260" s="347" t="str">
        <f t="shared" si="35"/>
        <v/>
      </c>
      <c r="AD260" s="347" t="str">
        <f t="shared" si="35"/>
        <v/>
      </c>
      <c r="AE260" s="347" t="str">
        <f t="shared" si="35"/>
        <v/>
      </c>
      <c r="AF260" s="347" t="str">
        <f t="shared" si="35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36">IF(C228&lt;100,"",C228-1500)</f>
        <v/>
      </c>
      <c r="D261" s="347" t="str">
        <f t="shared" si="36"/>
        <v/>
      </c>
      <c r="E261" s="347" t="str">
        <f t="shared" si="36"/>
        <v/>
      </c>
      <c r="F261" s="347" t="str">
        <f t="shared" si="36"/>
        <v/>
      </c>
      <c r="G261" s="347" t="str">
        <f t="shared" si="36"/>
        <v/>
      </c>
      <c r="H261" s="347" t="str">
        <f t="shared" si="36"/>
        <v/>
      </c>
      <c r="I261" s="347" t="str">
        <f t="shared" si="36"/>
        <v/>
      </c>
      <c r="J261" s="347" t="str">
        <f t="shared" si="36"/>
        <v/>
      </c>
      <c r="K261" s="347" t="str">
        <f t="shared" si="36"/>
        <v/>
      </c>
      <c r="L261" s="347" t="str">
        <f t="shared" si="36"/>
        <v/>
      </c>
      <c r="M261" s="347" t="str">
        <f t="shared" si="36"/>
        <v/>
      </c>
      <c r="N261" s="347" t="str">
        <f t="shared" si="36"/>
        <v/>
      </c>
      <c r="O261" s="347" t="str">
        <f t="shared" si="36"/>
        <v/>
      </c>
      <c r="P261" s="347" t="str">
        <f t="shared" si="36"/>
        <v/>
      </c>
      <c r="Q261" s="347" t="str">
        <f t="shared" si="36"/>
        <v/>
      </c>
      <c r="R261" s="347" t="str">
        <f t="shared" si="36"/>
        <v/>
      </c>
      <c r="S261" s="347" t="str">
        <f t="shared" si="36"/>
        <v/>
      </c>
      <c r="T261" s="347" t="str">
        <f t="shared" si="36"/>
        <v/>
      </c>
      <c r="U261" s="347" t="str">
        <f t="shared" si="36"/>
        <v/>
      </c>
      <c r="V261" s="347" t="str">
        <f t="shared" si="36"/>
        <v/>
      </c>
      <c r="W261" s="347" t="str">
        <f t="shared" si="36"/>
        <v/>
      </c>
      <c r="X261" s="347" t="str">
        <f t="shared" si="36"/>
        <v/>
      </c>
      <c r="Y261" s="347" t="str">
        <f t="shared" si="36"/>
        <v/>
      </c>
      <c r="Z261" s="347" t="str">
        <f t="shared" si="36"/>
        <v/>
      </c>
      <c r="AA261" s="347" t="str">
        <f t="shared" si="36"/>
        <v/>
      </c>
      <c r="AB261" s="347" t="str">
        <f t="shared" si="36"/>
        <v/>
      </c>
      <c r="AC261" s="347" t="str">
        <f t="shared" si="36"/>
        <v/>
      </c>
      <c r="AD261" s="347" t="str">
        <f t="shared" si="36"/>
        <v/>
      </c>
      <c r="AE261" s="347" t="str">
        <f t="shared" si="36"/>
        <v/>
      </c>
      <c r="AF261" s="347" t="str">
        <f t="shared" si="36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C99:AF99 T11:AF11 B9:AF10 C101:AF106">
    <cfRule type="expression" dxfId="504" priority="241">
      <formula>B$9&gt;=20/24</formula>
    </cfRule>
    <cfRule type="expression" dxfId="503" priority="242">
      <formula>AND(B$9&gt;=14/24,B$9&lt;20/24)</formula>
    </cfRule>
    <cfRule type="expression" dxfId="502" priority="243">
      <formula>AND(B$9&gt;=8/24,B$9&lt;14/24)</formula>
    </cfRule>
    <cfRule type="expression" dxfId="501" priority="244">
      <formula>B$9&lt;8/24</formula>
    </cfRule>
  </conditionalFormatting>
  <conditionalFormatting sqref="AL4:AL6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00" priority="236">
      <formula>S$9&gt;=20/24</formula>
    </cfRule>
    <cfRule type="expression" dxfId="499" priority="237">
      <formula>AND(S$9&gt;=14/24,S$9&lt;20/24)</formula>
    </cfRule>
    <cfRule type="expression" dxfId="498" priority="238">
      <formula>AND(S$9&gt;=8/24,S$9&lt;14/24)</formula>
    </cfRule>
    <cfRule type="expression" dxfId="497" priority="239">
      <formula>S$9&lt;8/24</formula>
    </cfRule>
  </conditionalFormatting>
  <conditionalFormatting sqref="AG55 S37:AF37 J11:AF11 O12:AF16 E16:N16 B12:D16 B35:AF35">
    <cfRule type="expression" dxfId="496" priority="235">
      <formula>B11&gt;$AG11</formula>
    </cfRule>
  </conditionalFormatting>
  <conditionalFormatting sqref="A89:A99 A11:A14 A49:A76 A85:A87 A192:A222 A16:A30 A36:A47 A108:A179 A32:A33 A81:A83 A78:A79 A101:A103">
    <cfRule type="expression" dxfId="495" priority="234">
      <formula>$AH11=0</formula>
    </cfRule>
  </conditionalFormatting>
  <conditionalFormatting sqref="A104">
    <cfRule type="expression" dxfId="494" priority="233">
      <formula>$AH104=0</formula>
    </cfRule>
  </conditionalFormatting>
  <conditionalFormatting sqref="AL3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493" priority="231">
      <formula>$AH35=0</formula>
    </cfRule>
  </conditionalFormatting>
  <conditionalFormatting sqref="A88">
    <cfRule type="expression" dxfId="492" priority="230">
      <formula>$AH88=0</formula>
    </cfRule>
  </conditionalFormatting>
  <conditionalFormatting sqref="A15">
    <cfRule type="expression" dxfId="491" priority="229">
      <formula>$AH15=0</formula>
    </cfRule>
  </conditionalFormatting>
  <conditionalFormatting sqref="A186:A191">
    <cfRule type="expression" dxfId="490" priority="228">
      <formula>$AH186=0</formula>
    </cfRule>
  </conditionalFormatting>
  <conditionalFormatting sqref="A180:A185">
    <cfRule type="expression" dxfId="489" priority="227">
      <formula>$AH180=0</formula>
    </cfRule>
  </conditionalFormatting>
  <conditionalFormatting sqref="A48">
    <cfRule type="expression" dxfId="488" priority="226">
      <formula>$AH48=0</formula>
    </cfRule>
  </conditionalFormatting>
  <conditionalFormatting sqref="A84">
    <cfRule type="expression" dxfId="487" priority="225">
      <formula>$AH84=0</formula>
    </cfRule>
  </conditionalFormatting>
  <conditionalFormatting sqref="C89:AF89">
    <cfRule type="expression" dxfId="486" priority="221">
      <formula>C$9&gt;=20/24</formula>
    </cfRule>
    <cfRule type="expression" dxfId="485" priority="222">
      <formula>AND(C$9&gt;=14/24,C$9&lt;20/24)</formula>
    </cfRule>
    <cfRule type="expression" dxfId="484" priority="223">
      <formula>AND(C$9&gt;=8/24,C$9&lt;14/24)</formula>
    </cfRule>
    <cfRule type="expression" dxfId="483" priority="224">
      <formula>C$9&lt;8/24</formula>
    </cfRule>
  </conditionalFormatting>
  <conditionalFormatting sqref="AL34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2" priority="247">
      <formula>C$9&gt;=20/24</formula>
    </cfRule>
    <cfRule type="expression" dxfId="481" priority="248">
      <formula>AND(C$9&gt;=14/24,C$9&lt;20/24)</formula>
    </cfRule>
    <cfRule type="expression" dxfId="480" priority="249">
      <formula>AND(C$9&gt;=8/24,C$9&lt;14/24)</formula>
    </cfRule>
    <cfRule type="expression" dxfId="479" priority="250">
      <formula>C$9&lt;8/24</formula>
    </cfRule>
  </conditionalFormatting>
  <conditionalFormatting sqref="A223">
    <cfRule type="expression" dxfId="478" priority="251">
      <formula>$AH223=0</formula>
    </cfRule>
  </conditionalFormatting>
  <conditionalFormatting sqref="AG235">
    <cfRule type="expression" dxfId="477" priority="252">
      <formula>B$9&gt;=20/24</formula>
    </cfRule>
    <cfRule type="expression" dxfId="476" priority="253">
      <formula>AND(B$9&gt;=14/24,B$9&lt;20/24)</formula>
    </cfRule>
    <cfRule type="expression" dxfId="475" priority="254">
      <formula>AND(B$9&gt;=8/24,B$9&lt;14/24)</formula>
    </cfRule>
    <cfRule type="expression" dxfId="474" priority="255">
      <formula>B$9&lt;8/24</formula>
    </cfRule>
  </conditionalFormatting>
  <conditionalFormatting sqref="S8">
    <cfRule type="expression" dxfId="473" priority="216">
      <formula>U$9&gt;=20/24</formula>
    </cfRule>
    <cfRule type="expression" dxfId="472" priority="217">
      <formula>AND(U$9&gt;=14/24,U$9&lt;20/24)</formula>
    </cfRule>
    <cfRule type="expression" dxfId="471" priority="218">
      <formula>AND(U$9&gt;=8/24,U$9&lt;14/24)</formula>
    </cfRule>
    <cfRule type="expression" dxfId="470" priority="219">
      <formula>U$9&lt;8/24</formula>
    </cfRule>
  </conditionalFormatting>
  <conditionalFormatting sqref="AB8">
    <cfRule type="expression" dxfId="469" priority="212">
      <formula>AD$9&gt;=20/24</formula>
    </cfRule>
    <cfRule type="expression" dxfId="468" priority="213">
      <formula>AND(AD$9&gt;=14/24,AD$9&lt;20/24)</formula>
    </cfRule>
    <cfRule type="expression" dxfId="467" priority="214">
      <formula>AND(AD$9&gt;=8/24,AD$9&lt;14/24)</formula>
    </cfRule>
    <cfRule type="expression" dxfId="466" priority="215">
      <formula>AD$9&lt;8/24</formula>
    </cfRule>
  </conditionalFormatting>
  <conditionalFormatting sqref="AH235:AX235">
    <cfRule type="expression" dxfId="465" priority="256">
      <formula>AG$9&gt;=20/24</formula>
    </cfRule>
    <cfRule type="expression" dxfId="464" priority="257">
      <formula>AND(AG$9&gt;=14/24,AG$9&lt;20/24)</formula>
    </cfRule>
    <cfRule type="expression" dxfId="463" priority="258">
      <formula>AND(AG$9&gt;=8/24,AG$9&lt;14/24)</formula>
    </cfRule>
    <cfRule type="expression" dxfId="462" priority="259">
      <formula>AG$9&lt;8/24</formula>
    </cfRule>
  </conditionalFormatting>
  <conditionalFormatting sqref="T235">
    <cfRule type="expression" dxfId="461" priority="260">
      <formula>AX$9&gt;=20/24</formula>
    </cfRule>
    <cfRule type="expression" dxfId="460" priority="261">
      <formula>AND(AX$9&gt;=14/24,AX$9&lt;20/24)</formula>
    </cfRule>
    <cfRule type="expression" dxfId="459" priority="262">
      <formula>AND(AX$9&gt;=8/24,AX$9&lt;14/24)</formula>
    </cfRule>
    <cfRule type="expression" dxfId="458" priority="263">
      <formula>AX$9&lt;8/24</formula>
    </cfRule>
  </conditionalFormatting>
  <conditionalFormatting sqref="A105:A106">
    <cfRule type="expression" dxfId="457" priority="211">
      <formula>$AH105=0</formula>
    </cfRule>
  </conditionalFormatting>
  <conditionalFormatting sqref="E11:I11 E44:L45 S44:W45 Y44:AF45 Z36:AF36 E61:AF61">
    <cfRule type="expression" dxfId="456" priority="207">
      <formula>E$9&gt;=20/24</formula>
    </cfRule>
    <cfRule type="expression" dxfId="455" priority="208">
      <formula>AND(E$9&gt;=14/24,E$9&lt;20/24)</formula>
    </cfRule>
    <cfRule type="expression" dxfId="454" priority="209">
      <formula>AND(E$9&gt;=8/24,E$9&lt;14/24)</formula>
    </cfRule>
    <cfRule type="expression" dxfId="453" priority="210">
      <formula>E$9&lt;8/24</formula>
    </cfRule>
  </conditionalFormatting>
  <conditionalFormatting sqref="E43:L43 S43:W43 Y43:AF43">
    <cfRule type="expression" dxfId="452" priority="203">
      <formula>E$9&gt;=20/24</formula>
    </cfRule>
    <cfRule type="expression" dxfId="451" priority="204">
      <formula>AND(E$9&gt;=14/24,E$9&lt;20/24)</formula>
    </cfRule>
    <cfRule type="expression" dxfId="450" priority="205">
      <formula>AND(E$9&gt;=8/24,E$9&lt;14/24)</formula>
    </cfRule>
    <cfRule type="expression" dxfId="449" priority="206">
      <formula>E$9&lt;8/24</formula>
    </cfRule>
  </conditionalFormatting>
  <conditionalFormatting sqref="E11:I11 E43:L45 S43:W45 Y43:AF45 Z36:AF36">
    <cfRule type="expression" dxfId="448" priority="202">
      <formula>E11&gt;$AG11</formula>
    </cfRule>
  </conditionalFormatting>
  <conditionalFormatting sqref="M11:R11 E36:Y36 C86:AF86 E62:AE63 C73:AF76 M68:M70 E71:M71 E66:M67 N66:O71 E65:O65 P65:W71 E64:W64 D90:AF96 X64:AE71 E12:AF14 M16:AF16 M18:AF22 M24:AF26 E57:AF59 AF62:AF71 M37:R37 M28:AF32">
    <cfRule type="expression" dxfId="447" priority="198">
      <formula>C$9&gt;=20/24</formula>
    </cfRule>
    <cfRule type="expression" dxfId="446" priority="199">
      <formula>AND(C$9&gt;=14/24,C$9&lt;20/24)</formula>
    </cfRule>
    <cfRule type="expression" dxfId="445" priority="200">
      <formula>AND(C$9&gt;=8/24,C$9&lt;14/24)</formula>
    </cfRule>
    <cfRule type="expression" dxfId="444" priority="201">
      <formula>C$9&lt;8/24</formula>
    </cfRule>
  </conditionalFormatting>
  <conditionalFormatting sqref="M33:AF33">
    <cfRule type="expression" dxfId="443" priority="194">
      <formula>M$9&gt;=20/24</formula>
    </cfRule>
    <cfRule type="expression" dxfId="442" priority="195">
      <formula>AND(M$9&gt;=14/24,M$9&lt;20/24)</formula>
    </cfRule>
    <cfRule type="expression" dxfId="441" priority="196">
      <formula>AND(M$9&gt;=8/24,M$9&lt;14/24)</formula>
    </cfRule>
    <cfRule type="expression" dxfId="440" priority="197">
      <formula>M$9&lt;8/24</formula>
    </cfRule>
  </conditionalFormatting>
  <conditionalFormatting sqref="E46:G47 M11:R11 E36:Y36 F48:G48 E12:N15 H46:L48 AB46:AF47 M18:AF22 C55:AF55 E57:AF59 E37:R37 M24:AF33">
    <cfRule type="expression" dxfId="439" priority="193">
      <formula>C11&gt;$AG11</formula>
    </cfRule>
  </conditionalFormatting>
  <conditionalFormatting sqref="M35:AF35">
    <cfRule type="expression" dxfId="438" priority="189">
      <formula>M$9&gt;=20/24</formula>
    </cfRule>
    <cfRule type="expression" dxfId="437" priority="190">
      <formula>AND(M$9&gt;=14/24,M$9&lt;20/24)</formula>
    </cfRule>
    <cfRule type="expression" dxfId="436" priority="191">
      <formula>AND(M$9&gt;=8/24,M$9&lt;14/24)</formula>
    </cfRule>
    <cfRule type="expression" dxfId="435" priority="192">
      <formula>M$9&lt;8/24</formula>
    </cfRule>
  </conditionalFormatting>
  <conditionalFormatting sqref="E15:AF15">
    <cfRule type="expression" dxfId="434" priority="185">
      <formula>E$9&gt;=20/24</formula>
    </cfRule>
    <cfRule type="expression" dxfId="433" priority="186">
      <formula>AND(E$9&gt;=14/24,E$9&lt;20/24)</formula>
    </cfRule>
    <cfRule type="expression" dxfId="432" priority="187">
      <formula>AND(E$9&gt;=8/24,E$9&lt;14/24)</formula>
    </cfRule>
    <cfRule type="expression" dxfId="431" priority="188">
      <formula>E$9&lt;8/24</formula>
    </cfRule>
  </conditionalFormatting>
  <conditionalFormatting sqref="M34:AF34">
    <cfRule type="expression" dxfId="430" priority="181">
      <formula>M$9&gt;=20/24</formula>
    </cfRule>
    <cfRule type="expression" dxfId="429" priority="182">
      <formula>AND(M$9&gt;=14/24,M$9&lt;20/24)</formula>
    </cfRule>
    <cfRule type="expression" dxfId="428" priority="183">
      <formula>AND(M$9&gt;=8/24,M$9&lt;14/24)</formula>
    </cfRule>
    <cfRule type="expression" dxfId="427" priority="184">
      <formula>M$9&lt;8/24</formula>
    </cfRule>
  </conditionalFormatting>
  <conditionalFormatting sqref="M34:AF34">
    <cfRule type="expression" dxfId="426" priority="180">
      <formula>M34&gt;$AG34</formula>
    </cfRule>
  </conditionalFormatting>
  <conditionalFormatting sqref="S11">
    <cfRule type="expression" dxfId="425" priority="176">
      <formula>S$9&gt;=20/24</formula>
    </cfRule>
    <cfRule type="expression" dxfId="424" priority="177">
      <formula>AND(S$9&gt;=14/24,S$9&lt;20/24)</formula>
    </cfRule>
    <cfRule type="expression" dxfId="423" priority="178">
      <formula>AND(S$9&gt;=8/24,S$9&lt;14/24)</formula>
    </cfRule>
    <cfRule type="expression" dxfId="422" priority="179">
      <formula>S$9&lt;8/24</formula>
    </cfRule>
  </conditionalFormatting>
  <conditionalFormatting sqref="V46:AA47 AB48:AF54">
    <cfRule type="expression" dxfId="421" priority="172">
      <formula>V$9&gt;=20/24</formula>
    </cfRule>
    <cfRule type="expression" dxfId="420" priority="173">
      <formula>AND(V$9&gt;=14/24,V$9&lt;20/24)</formula>
    </cfRule>
    <cfRule type="expression" dxfId="419" priority="174">
      <formula>AND(V$9&gt;=8/24,V$9&lt;14/24)</formula>
    </cfRule>
    <cfRule type="expression" dxfId="418" priority="175">
      <formula>V$9&lt;8/24</formula>
    </cfRule>
  </conditionalFormatting>
  <conditionalFormatting sqref="V46:AA47 AB48:AF54">
    <cfRule type="expression" dxfId="417" priority="171">
      <formula>V46&gt;$AG46</formula>
    </cfRule>
  </conditionalFormatting>
  <conditionalFormatting sqref="M43:R54 S46:U54 V48:AA54">
    <cfRule type="expression" dxfId="416" priority="167">
      <formula>M$9&gt;=20/24</formula>
    </cfRule>
    <cfRule type="expression" dxfId="415" priority="168">
      <formula>AND(M$9&gt;=14/24,M$9&lt;20/24)</formula>
    </cfRule>
    <cfRule type="expression" dxfId="414" priority="169">
      <formula>AND(M$9&gt;=8/24,M$9&lt;14/24)</formula>
    </cfRule>
    <cfRule type="expression" dxfId="413" priority="170">
      <formula>M$9&lt;8/24</formula>
    </cfRule>
  </conditionalFormatting>
  <conditionalFormatting sqref="M43:R54 S46:U54 V48:AA54">
    <cfRule type="expression" dxfId="412" priority="166">
      <formula>M43&gt;$AG43</formula>
    </cfRule>
  </conditionalFormatting>
  <conditionalFormatting sqref="M27:AF27">
    <cfRule type="expression" dxfId="411" priority="162">
      <formula>M$9&gt;=20/24</formula>
    </cfRule>
    <cfRule type="expression" dxfId="410" priority="163">
      <formula>AND(M$9&gt;=14/24,M$9&lt;20/24)</formula>
    </cfRule>
    <cfRule type="expression" dxfId="409" priority="164">
      <formula>AND(M$9&gt;=8/24,M$9&lt;14/24)</formula>
    </cfRule>
    <cfRule type="expression" dxfId="408" priority="165">
      <formula>M$9&lt;8/24</formula>
    </cfRule>
  </conditionalFormatting>
  <conditionalFormatting sqref="E16:L16 E18:L22 E17:AF17 E23:AF23 E24:L32 C29:D29">
    <cfRule type="expression" dxfId="407" priority="158">
      <formula>C$9&gt;=20/24</formula>
    </cfRule>
    <cfRule type="expression" dxfId="406" priority="159">
      <formula>AND(C$9&gt;=14/24,C$9&lt;20/24)</formula>
    </cfRule>
    <cfRule type="expression" dxfId="405" priority="160">
      <formula>AND(C$9&gt;=8/24,C$9&lt;14/24)</formula>
    </cfRule>
    <cfRule type="expression" dxfId="404" priority="161">
      <formula>C$9&lt;8/24</formula>
    </cfRule>
  </conditionalFormatting>
  <conditionalFormatting sqref="E33:L33">
    <cfRule type="expression" dxfId="403" priority="154">
      <formula>E$9&gt;=20/24</formula>
    </cfRule>
    <cfRule type="expression" dxfId="402" priority="155">
      <formula>AND(E$9&gt;=14/24,E$9&lt;20/24)</formula>
    </cfRule>
    <cfRule type="expression" dxfId="401" priority="156">
      <formula>AND(E$9&gt;=8/24,E$9&lt;14/24)</formula>
    </cfRule>
    <cfRule type="expression" dxfId="400" priority="157">
      <formula>E$9&lt;8/24</formula>
    </cfRule>
  </conditionalFormatting>
  <conditionalFormatting sqref="E18:L22 E17:AF17 E23:AF23 E24:L33 C29:D29">
    <cfRule type="expression" dxfId="399" priority="153">
      <formula>C17&gt;$AG17</formula>
    </cfRule>
  </conditionalFormatting>
  <conditionalFormatting sqref="E35:L35">
    <cfRule type="expression" dxfId="398" priority="149">
      <formula>E$9&gt;=20/24</formula>
    </cfRule>
    <cfRule type="expression" dxfId="397" priority="150">
      <formula>AND(E$9&gt;=14/24,E$9&lt;20/24)</formula>
    </cfRule>
    <cfRule type="expression" dxfId="396" priority="151">
      <formula>AND(E$9&gt;=8/24,E$9&lt;14/24)</formula>
    </cfRule>
    <cfRule type="expression" dxfId="395" priority="152">
      <formula>E$9&lt;8/24</formula>
    </cfRule>
  </conditionalFormatting>
  <conditionalFormatting sqref="E34:L34">
    <cfRule type="expression" dxfId="394" priority="141">
      <formula>E$9&gt;=20/24</formula>
    </cfRule>
    <cfRule type="expression" dxfId="393" priority="142">
      <formula>AND(E$9&gt;=14/24,E$9&lt;20/24)</formula>
    </cfRule>
    <cfRule type="expression" dxfId="392" priority="143">
      <formula>AND(E$9&gt;=8/24,E$9&lt;14/24)</formula>
    </cfRule>
    <cfRule type="expression" dxfId="391" priority="144">
      <formula>E$9&lt;8/24</formula>
    </cfRule>
  </conditionalFormatting>
  <conditionalFormatting sqref="E34:L34">
    <cfRule type="expression" dxfId="390" priority="140">
      <formula>E34&gt;$AG34</formula>
    </cfRule>
  </conditionalFormatting>
  <conditionalFormatting sqref="D43">
    <cfRule type="expression" dxfId="389" priority="132">
      <formula>D$9&gt;=20/24</formula>
    </cfRule>
    <cfRule type="expression" dxfId="388" priority="133">
      <formula>AND(D$9&gt;=14/24,D$9&lt;20/24)</formula>
    </cfRule>
    <cfRule type="expression" dxfId="387" priority="134">
      <formula>AND(D$9&gt;=8/24,D$9&lt;14/24)</formula>
    </cfRule>
    <cfRule type="expression" dxfId="386" priority="135">
      <formula>D$9&lt;8/24</formula>
    </cfRule>
  </conditionalFormatting>
  <conditionalFormatting sqref="D43">
    <cfRule type="expression" dxfId="385" priority="131">
      <formula>D43&gt;$AG43</formula>
    </cfRule>
  </conditionalFormatting>
  <conditionalFormatting sqref="E68:L70">
    <cfRule type="expression" dxfId="384" priority="127">
      <formula>E$9&gt;=20/24</formula>
    </cfRule>
    <cfRule type="expression" dxfId="383" priority="128">
      <formula>AND(E$9&gt;=14/24,E$9&lt;20/24)</formula>
    </cfRule>
    <cfRule type="expression" dxfId="382" priority="129">
      <formula>AND(E$9&gt;=8/24,E$9&lt;14/24)</formula>
    </cfRule>
    <cfRule type="expression" dxfId="381" priority="130">
      <formula>E$9&lt;8/24</formula>
    </cfRule>
  </conditionalFormatting>
  <conditionalFormatting sqref="E48:E54 F49:L54">
    <cfRule type="expression" dxfId="380" priority="122">
      <formula>E$9&gt;=20/24</formula>
    </cfRule>
    <cfRule type="expression" dxfId="379" priority="123">
      <formula>AND(E$9&gt;=14/24,E$9&lt;20/24)</formula>
    </cfRule>
    <cfRule type="expression" dxfId="378" priority="124">
      <formula>AND(E$9&gt;=8/24,E$9&lt;14/24)</formula>
    </cfRule>
    <cfRule type="expression" dxfId="377" priority="125">
      <formula>E$9&lt;8/24</formula>
    </cfRule>
  </conditionalFormatting>
  <conditionalFormatting sqref="E48:E54 F49:L54">
    <cfRule type="expression" dxfId="376" priority="121">
      <formula>E48&gt;$AG48</formula>
    </cfRule>
  </conditionalFormatting>
  <conditionalFormatting sqref="X44:X45">
    <cfRule type="expression" dxfId="375" priority="117">
      <formula>X$9&gt;=20/24</formula>
    </cfRule>
    <cfRule type="expression" dxfId="374" priority="118">
      <formula>AND(X$9&gt;=14/24,X$9&lt;20/24)</formula>
    </cfRule>
    <cfRule type="expression" dxfId="373" priority="119">
      <formula>AND(X$9&gt;=8/24,X$9&lt;14/24)</formula>
    </cfRule>
    <cfRule type="expression" dxfId="372" priority="120">
      <formula>X$9&lt;8/24</formula>
    </cfRule>
  </conditionalFormatting>
  <conditionalFormatting sqref="X43">
    <cfRule type="expression" dxfId="371" priority="113">
      <formula>X$9&gt;=20/24</formula>
    </cfRule>
    <cfRule type="expression" dxfId="370" priority="114">
      <formula>AND(X$9&gt;=14/24,X$9&lt;20/24)</formula>
    </cfRule>
    <cfRule type="expression" dxfId="369" priority="115">
      <formula>AND(X$9&gt;=8/24,X$9&lt;14/24)</formula>
    </cfRule>
    <cfRule type="expression" dxfId="368" priority="116">
      <formula>X$9&lt;8/24</formula>
    </cfRule>
  </conditionalFormatting>
  <conditionalFormatting sqref="X43:X45">
    <cfRule type="expression" dxfId="367" priority="112">
      <formula>X43&gt;$AG43</formula>
    </cfRule>
  </conditionalFormatting>
  <conditionalFormatting sqref="B99 B78:AF78 B87:AF87 B101:B106 B11:D11">
    <cfRule type="expression" dxfId="366" priority="108">
      <formula>B$9&gt;=20/24</formula>
    </cfRule>
    <cfRule type="expression" dxfId="365" priority="109">
      <formula>AND(B$9&gt;=14/24,B$9&lt;20/24)</formula>
    </cfRule>
    <cfRule type="expression" dxfId="364" priority="110">
      <formula>AND(B$9&gt;=8/24,B$9&lt;14/24)</formula>
    </cfRule>
    <cfRule type="expression" dxfId="363" priority="111">
      <formula>B$9&lt;8/24</formula>
    </cfRule>
  </conditionalFormatting>
  <conditionalFormatting sqref="B37:D37">
    <cfRule type="expression" dxfId="362" priority="104">
      <formula>B$9&gt;=20/24</formula>
    </cfRule>
    <cfRule type="expression" dxfId="361" priority="105">
      <formula>AND(B$9&gt;=14/24,B$9&lt;20/24)</formula>
    </cfRule>
    <cfRule type="expression" dxfId="360" priority="106">
      <formula>AND(B$9&gt;=8/24,B$9&lt;14/24)</formula>
    </cfRule>
    <cfRule type="expression" dxfId="359" priority="107">
      <formula>B$9&lt;8/24</formula>
    </cfRule>
  </conditionalFormatting>
  <conditionalFormatting sqref="B11:D11 B37:D37">
    <cfRule type="expression" dxfId="358" priority="103">
      <formula>B11&gt;$AG11</formula>
    </cfRule>
  </conditionalFormatting>
  <conditionalFormatting sqref="B89">
    <cfRule type="expression" dxfId="357" priority="99">
      <formula>B$9&gt;=20/24</formula>
    </cfRule>
    <cfRule type="expression" dxfId="356" priority="100">
      <formula>AND(B$9&gt;=14/24,B$9&lt;20/24)</formula>
    </cfRule>
    <cfRule type="expression" dxfId="355" priority="101">
      <formula>AND(B$9&gt;=8/24,B$9&lt;14/24)</formula>
    </cfRule>
    <cfRule type="expression" dxfId="354" priority="102">
      <formula>B$9&lt;8/24</formula>
    </cfRule>
  </conditionalFormatting>
  <conditionalFormatting sqref="B36:D36 B44:D45 B61:D61">
    <cfRule type="expression" dxfId="353" priority="95">
      <formula>B$9&gt;=20/24</formula>
    </cfRule>
    <cfRule type="expression" dxfId="352" priority="96">
      <formula>AND(B$9&gt;=14/24,B$9&lt;20/24)</formula>
    </cfRule>
    <cfRule type="expression" dxfId="351" priority="97">
      <formula>AND(B$9&gt;=8/24,B$9&lt;14/24)</formula>
    </cfRule>
    <cfRule type="expression" dxfId="350" priority="98">
      <formula>B$9&lt;8/24</formula>
    </cfRule>
  </conditionalFormatting>
  <conditionalFormatting sqref="B43:C43">
    <cfRule type="expression" dxfId="349" priority="91">
      <formula>B$9&gt;=20/24</formula>
    </cfRule>
    <cfRule type="expression" dxfId="348" priority="92">
      <formula>AND(B$9&gt;=14/24,B$9&lt;20/24)</formula>
    </cfRule>
    <cfRule type="expression" dxfId="347" priority="93">
      <formula>AND(B$9&gt;=8/24,B$9&lt;14/24)</formula>
    </cfRule>
    <cfRule type="expression" dxfId="346" priority="94">
      <formula>B$9&lt;8/24</formula>
    </cfRule>
  </conditionalFormatting>
  <conditionalFormatting sqref="B43:C45 B36:D36 D44:D45">
    <cfRule type="expression" dxfId="345" priority="90">
      <formula>B36&gt;$AG36</formula>
    </cfRule>
  </conditionalFormatting>
  <conditionalFormatting sqref="B57:B60 B73:B77 B79:AF79 B86 C60:AG60 C77:AG77 B88:AF88 B28:B32 B90:C96 B12:D14 B16:D16 B18:D22 B24:D26 C28:D28 C30:D32 C57:D59 B62:D71">
    <cfRule type="expression" dxfId="344" priority="86">
      <formula>B$9&gt;=20/24</formula>
    </cfRule>
    <cfRule type="expression" dxfId="343" priority="87">
      <formula>AND(B$9&gt;=14/24,B$9&lt;20/24)</formula>
    </cfRule>
    <cfRule type="expression" dxfId="342" priority="88">
      <formula>AND(B$9&gt;=8/24,B$9&lt;14/24)</formula>
    </cfRule>
    <cfRule type="expression" dxfId="341" priority="89">
      <formula>B$9&lt;8/24</formula>
    </cfRule>
  </conditionalFormatting>
  <conditionalFormatting sqref="B33:D33">
    <cfRule type="expression" dxfId="340" priority="82">
      <formula>B$9&gt;=20/24</formula>
    </cfRule>
    <cfRule type="expression" dxfId="339" priority="83">
      <formula>AND(B$9&gt;=14/24,B$9&lt;20/24)</formula>
    </cfRule>
    <cfRule type="expression" dxfId="338" priority="84">
      <formula>AND(B$9&gt;=8/24,B$9&lt;14/24)</formula>
    </cfRule>
    <cfRule type="expression" dxfId="337" priority="85">
      <formula>B$9&lt;8/24</formula>
    </cfRule>
  </conditionalFormatting>
  <conditionalFormatting sqref="B55:B60 B38:AG38 C56:AG56 C60:AG60 B24:B33 B18:D22 C24:D28 C30:D33 B46:D47 C57:D59">
    <cfRule type="expression" dxfId="336" priority="81">
      <formula>B18&gt;$AG18</formula>
    </cfRule>
  </conditionalFormatting>
  <conditionalFormatting sqref="B35:D35">
    <cfRule type="expression" dxfId="335" priority="77">
      <formula>B$9&gt;=20/24</formula>
    </cfRule>
    <cfRule type="expression" dxfId="334" priority="78">
      <formula>AND(B$9&gt;=14/24,B$9&lt;20/24)</formula>
    </cfRule>
    <cfRule type="expression" dxfId="333" priority="79">
      <formula>AND(B$9&gt;=8/24,B$9&lt;14/24)</formula>
    </cfRule>
    <cfRule type="expression" dxfId="332" priority="80">
      <formula>B$9&lt;8/24</formula>
    </cfRule>
  </conditionalFormatting>
  <conditionalFormatting sqref="B15:D15">
    <cfRule type="expression" dxfId="331" priority="73">
      <formula>B$9&gt;=20/24</formula>
    </cfRule>
    <cfRule type="expression" dxfId="330" priority="74">
      <formula>AND(B$9&gt;=14/24,B$9&lt;20/24)</formula>
    </cfRule>
    <cfRule type="expression" dxfId="329" priority="75">
      <formula>AND(B$9&gt;=8/24,B$9&lt;14/24)</formula>
    </cfRule>
    <cfRule type="expression" dxfId="328" priority="76">
      <formula>B$9&lt;8/24</formula>
    </cfRule>
  </conditionalFormatting>
  <conditionalFormatting sqref="B34:D34">
    <cfRule type="expression" dxfId="327" priority="69">
      <formula>B$9&gt;=20/24</formula>
    </cfRule>
    <cfRule type="expression" dxfId="326" priority="70">
      <formula>AND(B$9&gt;=14/24,B$9&lt;20/24)</formula>
    </cfRule>
    <cfRule type="expression" dxfId="325" priority="71">
      <formula>AND(B$9&gt;=8/24,B$9&lt;14/24)</formula>
    </cfRule>
    <cfRule type="expression" dxfId="324" priority="72">
      <formula>B$9&lt;8/24</formula>
    </cfRule>
  </conditionalFormatting>
  <conditionalFormatting sqref="B34:D34">
    <cfRule type="expression" dxfId="323" priority="68">
      <formula>B34&gt;$AG34</formula>
    </cfRule>
  </conditionalFormatting>
  <conditionalFormatting sqref="B48:D54">
    <cfRule type="expression" dxfId="322" priority="64">
      <formula>B$9&gt;=20/24</formula>
    </cfRule>
    <cfRule type="expression" dxfId="321" priority="65">
      <formula>AND(B$9&gt;=14/24,B$9&lt;20/24)</formula>
    </cfRule>
    <cfRule type="expression" dxfId="320" priority="66">
      <formula>AND(B$9&gt;=8/24,B$9&lt;14/24)</formula>
    </cfRule>
    <cfRule type="expression" dxfId="319" priority="67">
      <formula>B$9&lt;8/24</formula>
    </cfRule>
  </conditionalFormatting>
  <conditionalFormatting sqref="B48:D54">
    <cfRule type="expression" dxfId="318" priority="63">
      <formula>B48&gt;$AG48</formula>
    </cfRule>
  </conditionalFormatting>
  <conditionalFormatting sqref="B27:D27">
    <cfRule type="expression" dxfId="317" priority="59">
      <formula>B$9&gt;=20/24</formula>
    </cfRule>
    <cfRule type="expression" dxfId="316" priority="60">
      <formula>AND(B$9&gt;=14/24,B$9&lt;20/24)</formula>
    </cfRule>
    <cfRule type="expression" dxfId="315" priority="61">
      <formula>AND(B$9&gt;=8/24,B$9&lt;14/24)</formula>
    </cfRule>
    <cfRule type="expression" dxfId="314" priority="62">
      <formula>B$9&lt;8/24</formula>
    </cfRule>
  </conditionalFormatting>
  <conditionalFormatting sqref="B17:D17 B23:D23">
    <cfRule type="expression" dxfId="313" priority="55">
      <formula>B$9&gt;=20/24</formula>
    </cfRule>
    <cfRule type="expression" dxfId="312" priority="56">
      <formula>AND(B$9&gt;=14/24,B$9&lt;20/24)</formula>
    </cfRule>
    <cfRule type="expression" dxfId="311" priority="57">
      <formula>AND(B$9&gt;=8/24,B$9&lt;14/24)</formula>
    </cfRule>
    <cfRule type="expression" dxfId="310" priority="58">
      <formula>B$9&lt;8/24</formula>
    </cfRule>
  </conditionalFormatting>
  <conditionalFormatting sqref="B17:D17 B23:D23">
    <cfRule type="expression" dxfId="309" priority="54">
      <formula>B17&gt;$AG17</formula>
    </cfRule>
  </conditionalFormatting>
  <conditionalFormatting sqref="A34">
    <cfRule type="expression" dxfId="308" priority="53">
      <formula>$AH34=0</formula>
    </cfRule>
  </conditionalFormatting>
  <conditionalFormatting sqref="B72:AF72">
    <cfRule type="expression" dxfId="307" priority="49">
      <formula>B$9&gt;=20/24</formula>
    </cfRule>
    <cfRule type="expression" dxfId="306" priority="50">
      <formula>AND(B$9&gt;=14/24,B$9&lt;20/24)</formula>
    </cfRule>
    <cfRule type="expression" dxfId="305" priority="51">
      <formula>AND(B$9&gt;=8/24,B$9&lt;14/24)</formula>
    </cfRule>
    <cfRule type="expression" dxfId="304" priority="52">
      <formula>B$9&lt;8/24</formula>
    </cfRule>
  </conditionalFormatting>
  <conditionalFormatting sqref="B81:AF85">
    <cfRule type="expression" dxfId="303" priority="45">
      <formula>B$9&gt;=20/24</formula>
    </cfRule>
    <cfRule type="expression" dxfId="302" priority="46">
      <formula>AND(B$9&gt;=14/24,B$9&lt;20/24)</formula>
    </cfRule>
    <cfRule type="expression" dxfId="301" priority="47">
      <formula>AND(B$9&gt;=8/24,B$9&lt;14/24)</formula>
    </cfRule>
    <cfRule type="expression" dxfId="300" priority="48">
      <formula>B$9&lt;8/24</formula>
    </cfRule>
  </conditionalFormatting>
  <conditionalFormatting sqref="AL35 AL7:AL30 AL32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299" priority="41">
      <formula>C$9&gt;=20/24</formula>
    </cfRule>
    <cfRule type="expression" dxfId="298" priority="42">
      <formula>AND(C$9&gt;=14/24,C$9&lt;20/24)</formula>
    </cfRule>
    <cfRule type="expression" dxfId="297" priority="43">
      <formula>AND(C$9&gt;=8/24,C$9&lt;14/24)</formula>
    </cfRule>
    <cfRule type="expression" dxfId="296" priority="44">
      <formula>C$9&lt;8/24</formula>
    </cfRule>
  </conditionalFormatting>
  <conditionalFormatting sqref="C39:AF41">
    <cfRule type="expression" dxfId="295" priority="40">
      <formula>C39&gt;$AG39</formula>
    </cfRule>
  </conditionalFormatting>
  <conditionalFormatting sqref="B39:B42 C42:AG42">
    <cfRule type="expression" dxfId="294" priority="36">
      <formula>B$9&gt;=20/24</formula>
    </cfRule>
    <cfRule type="expression" dxfId="293" priority="37">
      <formula>AND(B$9&gt;=14/24,B$9&lt;20/24)</formula>
    </cfRule>
    <cfRule type="expression" dxfId="292" priority="38">
      <formula>AND(B$9&gt;=8/24,B$9&lt;14/24)</formula>
    </cfRule>
    <cfRule type="expression" dxfId="291" priority="39">
      <formula>B$9&lt;8/24</formula>
    </cfRule>
  </conditionalFormatting>
  <conditionalFormatting sqref="B39:B42 C42:AG42">
    <cfRule type="expression" dxfId="290" priority="35">
      <formula>B39&gt;$AG39</formula>
    </cfRule>
  </conditionalFormatting>
  <conditionalFormatting sqref="C97:AF97">
    <cfRule type="expression" dxfId="289" priority="31">
      <formula>C$9&gt;=20/24</formula>
    </cfRule>
    <cfRule type="expression" dxfId="288" priority="32">
      <formula>AND(C$9&gt;=14/24,C$9&lt;20/24)</formula>
    </cfRule>
    <cfRule type="expression" dxfId="287" priority="33">
      <formula>AND(C$9&gt;=8/24,C$9&lt;14/24)</formula>
    </cfRule>
    <cfRule type="expression" dxfId="286" priority="34">
      <formula>C$9&lt;8/24</formula>
    </cfRule>
  </conditionalFormatting>
  <conditionalFormatting sqref="B97">
    <cfRule type="expression" dxfId="285" priority="27">
      <formula>B$9&gt;=20/24</formula>
    </cfRule>
    <cfRule type="expression" dxfId="284" priority="28">
      <formula>AND(B$9&gt;=14/24,B$9&lt;20/24)</formula>
    </cfRule>
    <cfRule type="expression" dxfId="283" priority="29">
      <formula>AND(B$9&gt;=8/24,B$9&lt;14/24)</formula>
    </cfRule>
    <cfRule type="expression" dxfId="282" priority="30">
      <formula>B$9&lt;8/24</formula>
    </cfRule>
  </conditionalFormatting>
  <conditionalFormatting sqref="AL31">
    <cfRule type="iconSet" priority="2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81" priority="21">
      <formula>$AH31=0</formula>
    </cfRule>
  </conditionalFormatting>
  <conditionalFormatting sqref="A80">
    <cfRule type="expression" dxfId="280" priority="19">
      <formula>$AH80=0</formula>
    </cfRule>
  </conditionalFormatting>
  <conditionalFormatting sqref="A77">
    <cfRule type="expression" dxfId="279" priority="20">
      <formula>$AH77=0</formula>
    </cfRule>
  </conditionalFormatting>
  <conditionalFormatting sqref="A107">
    <cfRule type="expression" dxfId="278" priority="10">
      <formula>$AH107=0</formula>
    </cfRule>
  </conditionalFormatting>
  <conditionalFormatting sqref="C100:AF100">
    <cfRule type="expression" dxfId="277" priority="6">
      <formula>C$9&gt;=20/24</formula>
    </cfRule>
    <cfRule type="expression" dxfId="276" priority="7">
      <formula>AND(C$9&gt;=14/24,C$9&lt;20/24)</formula>
    </cfRule>
    <cfRule type="expression" dxfId="275" priority="8">
      <formula>AND(C$9&gt;=8/24,C$9&lt;14/24)</formula>
    </cfRule>
    <cfRule type="expression" dxfId="274" priority="9">
      <formula>C$9&lt;8/24</formula>
    </cfRule>
  </conditionalFormatting>
  <conditionalFormatting sqref="A100">
    <cfRule type="expression" dxfId="273" priority="5">
      <formula>$AH100=0</formula>
    </cfRule>
  </conditionalFormatting>
  <conditionalFormatting sqref="B100">
    <cfRule type="expression" dxfId="272" priority="1">
      <formula>B$9&gt;=20/24</formula>
    </cfRule>
    <cfRule type="expression" dxfId="271" priority="2">
      <formula>AND(B$9&gt;=14/24,B$9&lt;20/24)</formula>
    </cfRule>
    <cfRule type="expression" dxfId="270" priority="3">
      <formula>AND(B$9&gt;=8/24,B$9&lt;14/24)</formula>
    </cfRule>
    <cfRule type="expression" dxfId="269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AD27714D-36B8-4523-9B55-419B94F0809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B7237295-9C36-4A1A-B992-467C0D5D7C1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id="{E45DE995-F0D9-4F48-9C1C-C549C1A6E6C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" id="{094B56FE-3111-40F4-ABEF-9C2EB06D157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5" id="{8073267E-3832-435D-8873-C74A01C0D4B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DBCC912A-731F-4011-A8D2-1C05A6DC353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8648882C-6DA6-4750-A0FD-7F964F4B6D5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C5CF9AC1-DE19-49FC-9BEF-8E384DD6CCB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11" id="{C14246E6-01E8-4423-BEC5-001A5D744B0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7C4D09E5-DF1F-4E1F-9469-B9CF88213DE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" id="{6C6C93A8-5EF8-4608-A166-1175F664012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" id="{895B27CD-0E78-48DD-B42A-6B26A1E3035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CJ494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B5" sqref="B5"/>
    </sheetView>
  </sheetViews>
  <sheetFormatPr defaultRowHeight="15" x14ac:dyDescent="0.25"/>
  <cols>
    <col min="1" max="1" width="35.28515625" style="176" bestFit="1" customWidth="1"/>
    <col min="2" max="2" width="6.7109375" style="176" bestFit="1" customWidth="1"/>
    <col min="3" max="3" width="6.140625" style="176" customWidth="1"/>
    <col min="4" max="4" width="7" style="176" customWidth="1"/>
    <col min="5" max="9" width="6.42578125" style="176" bestFit="1" customWidth="1"/>
    <col min="10" max="10" width="6.28515625" style="176" bestFit="1" customWidth="1"/>
    <col min="11" max="13" width="6" style="176" bestFit="1" customWidth="1"/>
    <col min="14" max="15" width="6.28515625" style="176" bestFit="1" customWidth="1"/>
    <col min="16" max="16" width="6.7109375" style="176" customWidth="1"/>
    <col min="17" max="17" width="7.140625" style="176" customWidth="1"/>
    <col min="18" max="18" width="6.28515625" style="176" customWidth="1"/>
    <col min="19" max="19" width="7" style="176" customWidth="1"/>
    <col min="20" max="20" width="6.85546875" style="176" customWidth="1"/>
    <col min="21" max="21" width="6.28515625" style="176" bestFit="1" customWidth="1"/>
    <col min="22" max="26" width="6.85546875" style="176" customWidth="1"/>
    <col min="27" max="27" width="7.140625" style="176" customWidth="1"/>
    <col min="28" max="32" width="6.85546875" style="176" customWidth="1"/>
    <col min="33" max="33" width="14.42578125" style="176" customWidth="1"/>
    <col min="34" max="35" width="8" style="176" customWidth="1"/>
    <col min="36" max="36" width="9.140625" style="175"/>
    <col min="37" max="37" width="9.140625" style="176"/>
    <col min="38" max="41" width="9.140625" style="176" customWidth="1"/>
    <col min="42" max="16384" width="9.140625" style="176"/>
  </cols>
  <sheetData>
    <row r="1" spans="1:88" ht="36" customHeight="1" thickBo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9" t="s">
        <v>1</v>
      </c>
      <c r="AH1" s="379"/>
      <c r="AI1" s="379"/>
      <c r="AL1" s="177"/>
      <c r="AM1" s="178"/>
    </row>
    <row r="2" spans="1:88" ht="20.25" x14ac:dyDescent="0.25">
      <c r="A2" s="179"/>
      <c r="B2" s="380" t="s">
        <v>2</v>
      </c>
      <c r="C2" s="180"/>
      <c r="D2" s="382" t="s">
        <v>3</v>
      </c>
      <c r="E2" s="180"/>
      <c r="F2" s="382" t="s">
        <v>4</v>
      </c>
      <c r="G2" s="180"/>
      <c r="H2" s="382" t="s">
        <v>5</v>
      </c>
      <c r="I2" s="181"/>
      <c r="J2" s="384" t="s">
        <v>6</v>
      </c>
      <c r="K2" s="182" t="s">
        <v>2</v>
      </c>
      <c r="L2" s="182" t="s">
        <v>3</v>
      </c>
      <c r="M2" s="182" t="s">
        <v>4</v>
      </c>
      <c r="N2" s="183" t="s">
        <v>5</v>
      </c>
      <c r="O2" s="184"/>
      <c r="P2" s="184"/>
      <c r="Q2" s="185"/>
      <c r="R2" s="185"/>
      <c r="S2" s="185"/>
      <c r="T2" s="185"/>
      <c r="U2" s="185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2">
        <f>AG38</f>
        <v>665.78</v>
      </c>
      <c r="AH2" s="187" t="s">
        <v>7</v>
      </c>
      <c r="AI2" s="188"/>
      <c r="AL2" s="178"/>
      <c r="AM2" s="189"/>
      <c r="AN2" s="190"/>
      <c r="AO2" s="190"/>
    </row>
    <row r="3" spans="1:88" ht="19.5" thickBot="1" x14ac:dyDescent="0.3">
      <c r="A3" s="191"/>
      <c r="B3" s="381"/>
      <c r="C3" s="192"/>
      <c r="D3" s="383"/>
      <c r="E3" s="192"/>
      <c r="F3" s="383"/>
      <c r="G3" s="192"/>
      <c r="H3" s="383"/>
      <c r="I3" s="193"/>
      <c r="J3" s="384"/>
      <c r="K3" s="194"/>
      <c r="L3" s="194"/>
      <c r="M3" s="194"/>
      <c r="N3" s="194"/>
      <c r="O3" s="195"/>
      <c r="P3" s="195"/>
      <c r="Q3" s="186"/>
      <c r="R3" s="186"/>
      <c r="S3" s="186"/>
      <c r="T3" s="186"/>
      <c r="U3" s="186"/>
      <c r="V3" s="196" t="s">
        <v>8</v>
      </c>
      <c r="W3" s="196"/>
      <c r="X3" s="196" t="s">
        <v>9</v>
      </c>
      <c r="Y3" s="196"/>
      <c r="Z3" s="196"/>
      <c r="AA3" s="196"/>
      <c r="AB3" s="195"/>
      <c r="AC3" s="197"/>
      <c r="AD3" s="197"/>
      <c r="AE3" s="197"/>
      <c r="AF3" s="197"/>
      <c r="AG3" s="24">
        <f>AG56</f>
        <v>489.91</v>
      </c>
      <c r="AH3" s="187" t="s">
        <v>10</v>
      </c>
      <c r="AI3" s="188"/>
      <c r="AL3" s="198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</row>
    <row r="4" spans="1:88" ht="18.75" x14ac:dyDescent="0.25">
      <c r="A4" s="200" t="s">
        <v>11</v>
      </c>
      <c r="B4" s="385" t="e">
        <f ca="1">"2079/"&amp;"05/"&amp;INT(MID(CELL("filename",D6),FIND("]",CELL("filename",D6))+1,200))</f>
        <v>#VALUE!</v>
      </c>
      <c r="C4" s="385"/>
      <c r="D4" s="385"/>
      <c r="E4" s="386" t="str">
        <f ca="1">IFERROR([1]!DateBStoAD(B4),"")</f>
        <v/>
      </c>
      <c r="F4" s="386"/>
      <c r="G4" s="386"/>
      <c r="H4" s="386" t="str">
        <f ca="1">TEXT(E4,"dddd")</f>
        <v/>
      </c>
      <c r="I4" s="386"/>
      <c r="J4" s="201"/>
      <c r="K4" s="176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202"/>
      <c r="AE4" s="202"/>
      <c r="AF4" s="202"/>
      <c r="AG4" s="24">
        <f>AG60</f>
        <v>106</v>
      </c>
      <c r="AH4" s="187" t="s">
        <v>12</v>
      </c>
      <c r="AI4" s="188"/>
      <c r="AL4" s="203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</row>
    <row r="5" spans="1:88" ht="15.75" customHeight="1" x14ac:dyDescent="0.25">
      <c r="A5" s="204"/>
      <c r="B5" s="205">
        <f t="shared" ref="B5:AE5" si="0">C72</f>
        <v>0</v>
      </c>
      <c r="C5" s="205">
        <f t="shared" si="0"/>
        <v>0</v>
      </c>
      <c r="D5" s="205">
        <f t="shared" si="0"/>
        <v>0</v>
      </c>
      <c r="E5" s="205">
        <f t="shared" si="0"/>
        <v>0</v>
      </c>
      <c r="F5" s="205">
        <f t="shared" si="0"/>
        <v>0</v>
      </c>
      <c r="G5" s="205">
        <f t="shared" si="0"/>
        <v>0</v>
      </c>
      <c r="H5" s="205">
        <f t="shared" si="0"/>
        <v>0</v>
      </c>
      <c r="I5" s="205">
        <f t="shared" si="0"/>
        <v>0</v>
      </c>
      <c r="J5" s="205">
        <f t="shared" si="0"/>
        <v>0</v>
      </c>
      <c r="K5" s="205">
        <f t="shared" si="0"/>
        <v>0</v>
      </c>
      <c r="L5" s="205">
        <f t="shared" si="0"/>
        <v>0</v>
      </c>
      <c r="M5" s="205">
        <f t="shared" si="0"/>
        <v>0</v>
      </c>
      <c r="N5" s="205">
        <f t="shared" si="0"/>
        <v>0</v>
      </c>
      <c r="O5" s="205">
        <f t="shared" si="0"/>
        <v>0</v>
      </c>
      <c r="P5" s="205">
        <f t="shared" si="0"/>
        <v>0</v>
      </c>
      <c r="Q5" s="205">
        <f t="shared" si="0"/>
        <v>0</v>
      </c>
      <c r="R5" s="205">
        <f t="shared" si="0"/>
        <v>0</v>
      </c>
      <c r="S5" s="205">
        <f t="shared" si="0"/>
        <v>0</v>
      </c>
      <c r="T5" s="205">
        <f t="shared" si="0"/>
        <v>0</v>
      </c>
      <c r="U5" s="205">
        <f t="shared" si="0"/>
        <v>0</v>
      </c>
      <c r="V5" s="205">
        <f t="shared" si="0"/>
        <v>0</v>
      </c>
      <c r="W5" s="205">
        <f t="shared" si="0"/>
        <v>0</v>
      </c>
      <c r="X5" s="205">
        <f t="shared" si="0"/>
        <v>0</v>
      </c>
      <c r="Y5" s="205">
        <f t="shared" si="0"/>
        <v>0</v>
      </c>
      <c r="Z5" s="205">
        <f t="shared" si="0"/>
        <v>0</v>
      </c>
      <c r="AA5" s="205">
        <f t="shared" si="0"/>
        <v>0</v>
      </c>
      <c r="AB5" s="205">
        <f t="shared" si="0"/>
        <v>0</v>
      </c>
      <c r="AC5" s="205">
        <f t="shared" si="0"/>
        <v>0</v>
      </c>
      <c r="AD5" s="205">
        <f t="shared" si="0"/>
        <v>0</v>
      </c>
      <c r="AE5" s="205">
        <f t="shared" si="0"/>
        <v>0</v>
      </c>
      <c r="AF5" s="205">
        <f>B72</f>
        <v>0</v>
      </c>
      <c r="AG5" s="24"/>
      <c r="AH5" s="187"/>
      <c r="AI5" s="188"/>
      <c r="AL5" s="203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</row>
    <row r="6" spans="1:88" ht="18.75" x14ac:dyDescent="0.25">
      <c r="A6" s="204"/>
      <c r="B6" s="206"/>
      <c r="C6" s="204"/>
      <c r="D6" s="207"/>
      <c r="E6" s="207"/>
      <c r="F6" s="207"/>
      <c r="G6" s="207"/>
      <c r="H6" s="207"/>
      <c r="I6" s="207"/>
      <c r="J6" s="201"/>
      <c r="K6" s="176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4MW at 4:60hr</v>
      </c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202"/>
      <c r="AE6" s="202"/>
      <c r="AF6" s="202"/>
      <c r="AG6" s="24">
        <f>SUM(AG2:AG4)</f>
        <v>1261.69</v>
      </c>
      <c r="AH6" s="208" t="s">
        <v>13</v>
      </c>
      <c r="AI6" s="188"/>
      <c r="AL6" s="203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</row>
    <row r="7" spans="1:88" ht="16.5" thickBot="1" x14ac:dyDescent="0.3">
      <c r="A7" s="209" t="str">
        <f>"Base Load="&amp;ROUND(MIN($B$7:$AF$7),0)</f>
        <v>Base Load=4</v>
      </c>
      <c r="B7" s="210">
        <f>B79</f>
        <v>3.54</v>
      </c>
      <c r="C7" s="210">
        <f t="shared" ref="C7:AF7" si="1">C79</f>
        <v>3.54</v>
      </c>
      <c r="D7" s="210">
        <f t="shared" si="1"/>
        <v>3.54</v>
      </c>
      <c r="E7" s="210">
        <f t="shared" si="1"/>
        <v>3.54</v>
      </c>
      <c r="F7" s="210">
        <f t="shared" si="1"/>
        <v>3.54</v>
      </c>
      <c r="G7" s="210">
        <f t="shared" si="1"/>
        <v>3.54</v>
      </c>
      <c r="H7" s="210">
        <f t="shared" si="1"/>
        <v>3.54</v>
      </c>
      <c r="I7" s="210">
        <f t="shared" si="1"/>
        <v>3.54</v>
      </c>
      <c r="J7" s="210">
        <f t="shared" si="1"/>
        <v>3.54</v>
      </c>
      <c r="K7" s="210">
        <f t="shared" si="1"/>
        <v>3.54</v>
      </c>
      <c r="L7" s="210">
        <f t="shared" si="1"/>
        <v>3.54</v>
      </c>
      <c r="M7" s="210">
        <f t="shared" si="1"/>
        <v>3.54</v>
      </c>
      <c r="N7" s="210">
        <f t="shared" si="1"/>
        <v>3.54</v>
      </c>
      <c r="O7" s="210">
        <f t="shared" si="1"/>
        <v>3.54</v>
      </c>
      <c r="P7" s="210">
        <f t="shared" si="1"/>
        <v>3.54</v>
      </c>
      <c r="Q7" s="210">
        <f t="shared" si="1"/>
        <v>3.54</v>
      </c>
      <c r="R7" s="210">
        <f t="shared" si="1"/>
        <v>3.54</v>
      </c>
      <c r="S7" s="210">
        <f t="shared" si="1"/>
        <v>3.54</v>
      </c>
      <c r="T7" s="210">
        <f t="shared" si="1"/>
        <v>3.54</v>
      </c>
      <c r="U7" s="210">
        <f t="shared" si="1"/>
        <v>3.54</v>
      </c>
      <c r="V7" s="210">
        <f t="shared" si="1"/>
        <v>3.54</v>
      </c>
      <c r="W7" s="210">
        <f t="shared" si="1"/>
        <v>3.54</v>
      </c>
      <c r="X7" s="210">
        <f t="shared" si="1"/>
        <v>3.54</v>
      </c>
      <c r="Y7" s="210">
        <f t="shared" si="1"/>
        <v>3.54</v>
      </c>
      <c r="Z7" s="210">
        <f t="shared" si="1"/>
        <v>3.54</v>
      </c>
      <c r="AA7" s="210">
        <f t="shared" si="1"/>
        <v>3.54</v>
      </c>
      <c r="AB7" s="210">
        <f t="shared" si="1"/>
        <v>3.54</v>
      </c>
      <c r="AC7" s="210">
        <f t="shared" si="1"/>
        <v>3.54</v>
      </c>
      <c r="AD7" s="210">
        <f t="shared" si="1"/>
        <v>3.54</v>
      </c>
      <c r="AE7" s="210">
        <f t="shared" si="1"/>
        <v>3.54</v>
      </c>
      <c r="AF7" s="210">
        <f t="shared" si="1"/>
        <v>3.54</v>
      </c>
      <c r="AG7" s="38"/>
      <c r="AH7" s="211"/>
      <c r="AI7" s="212"/>
      <c r="AL7" s="213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</row>
    <row r="8" spans="1:88" ht="17.25" thickTop="1" thickBot="1" x14ac:dyDescent="0.3">
      <c r="A8" s="214"/>
      <c r="B8" s="387" t="s">
        <v>14</v>
      </c>
      <c r="C8" s="388"/>
      <c r="D8" s="388"/>
      <c r="E8" s="388"/>
      <c r="F8" s="388"/>
      <c r="G8" s="388"/>
      <c r="H8" s="388"/>
      <c r="I8" s="388"/>
      <c r="J8" s="388"/>
      <c r="K8" s="388"/>
      <c r="L8" s="389"/>
      <c r="M8" s="390" t="s">
        <v>15</v>
      </c>
      <c r="N8" s="391"/>
      <c r="O8" s="391"/>
      <c r="P8" s="391"/>
      <c r="Q8" s="391"/>
      <c r="R8" s="392"/>
      <c r="S8" s="390" t="s">
        <v>16</v>
      </c>
      <c r="T8" s="391"/>
      <c r="U8" s="391"/>
      <c r="V8" s="391"/>
      <c r="W8" s="391"/>
      <c r="X8" s="391"/>
      <c r="Y8" s="391"/>
      <c r="Z8" s="391"/>
      <c r="AA8" s="392"/>
      <c r="AB8" s="390" t="s">
        <v>17</v>
      </c>
      <c r="AC8" s="391"/>
      <c r="AD8" s="391"/>
      <c r="AE8" s="391"/>
      <c r="AF8" s="392"/>
      <c r="AG8" s="215"/>
      <c r="AH8" s="216"/>
      <c r="AI8" s="217"/>
      <c r="AL8" s="203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</row>
    <row r="9" spans="1:88" ht="13.5" customHeight="1" thickTop="1" x14ac:dyDescent="0.25">
      <c r="A9" s="395" t="s">
        <v>18</v>
      </c>
      <c r="B9" s="397">
        <v>0</v>
      </c>
      <c r="C9" s="397">
        <v>4.1666666666666664E-2</v>
      </c>
      <c r="D9" s="397">
        <v>8.3333333333333301E-2</v>
      </c>
      <c r="E9" s="397">
        <v>0.125</v>
      </c>
      <c r="F9" s="397">
        <v>0.16666666666666699</v>
      </c>
      <c r="G9" s="397">
        <v>0.20833333333333301</v>
      </c>
      <c r="H9" s="397">
        <v>0.22916666666666666</v>
      </c>
      <c r="I9" s="397">
        <v>0.25</v>
      </c>
      <c r="J9" s="397">
        <v>0.27083333333333331</v>
      </c>
      <c r="K9" s="397">
        <v>0.29166666666666669</v>
      </c>
      <c r="L9" s="397">
        <v>0.3125</v>
      </c>
      <c r="M9" s="393">
        <v>0.33333333333333331</v>
      </c>
      <c r="N9" s="393">
        <v>0.375</v>
      </c>
      <c r="O9" s="393">
        <v>0.41666666666666702</v>
      </c>
      <c r="P9" s="393">
        <v>0.45833333333333298</v>
      </c>
      <c r="Q9" s="393">
        <v>0.5</v>
      </c>
      <c r="R9" s="393">
        <v>0.54166666666666696</v>
      </c>
      <c r="S9" s="399">
        <v>0.58333333333333304</v>
      </c>
      <c r="T9" s="399">
        <v>0.625</v>
      </c>
      <c r="U9" s="399">
        <v>0.66666666666666696</v>
      </c>
      <c r="V9" s="399">
        <v>0.70833333333333304</v>
      </c>
      <c r="W9" s="399">
        <v>0.72916666666666663</v>
      </c>
      <c r="X9" s="399">
        <v>0.75</v>
      </c>
      <c r="Y9" s="399">
        <v>0.77083333333333337</v>
      </c>
      <c r="Z9" s="399">
        <v>0.79166666666666663</v>
      </c>
      <c r="AA9" s="399">
        <v>0.8125</v>
      </c>
      <c r="AB9" s="399">
        <v>0.83333333333333337</v>
      </c>
      <c r="AC9" s="399">
        <v>0.85416666666666663</v>
      </c>
      <c r="AD9" s="399">
        <v>0.875</v>
      </c>
      <c r="AE9" s="399">
        <v>0.91666666666666696</v>
      </c>
      <c r="AF9" s="399">
        <v>0.95833333333333304</v>
      </c>
      <c r="AG9" s="400" t="s">
        <v>1</v>
      </c>
      <c r="AH9" s="218"/>
      <c r="AI9" s="217"/>
      <c r="AL9" s="203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</row>
    <row r="10" spans="1:88" ht="15.75" thickBot="1" x14ac:dyDescent="0.3">
      <c r="A10" s="396"/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4"/>
      <c r="N10" s="394"/>
      <c r="O10" s="394"/>
      <c r="P10" s="394"/>
      <c r="Q10" s="394"/>
      <c r="R10" s="394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401"/>
      <c r="AH10" s="219"/>
      <c r="AL10" s="203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</row>
    <row r="11" spans="1:88" ht="15.75" thickTop="1" x14ac:dyDescent="0.25">
      <c r="A11" s="220" t="s">
        <v>19</v>
      </c>
      <c r="B11" s="221"/>
      <c r="C11" s="222"/>
      <c r="D11" s="222"/>
      <c r="E11" s="221"/>
      <c r="F11" s="221"/>
      <c r="G11" s="221"/>
      <c r="H11" s="221"/>
      <c r="I11" s="221"/>
      <c r="J11" s="223"/>
      <c r="K11" s="223"/>
      <c r="L11" s="223"/>
      <c r="M11" s="221"/>
      <c r="N11" s="221"/>
      <c r="O11" s="221"/>
      <c r="P11" s="221"/>
      <c r="Q11" s="221"/>
      <c r="R11" s="221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5">
        <v>52.4</v>
      </c>
      <c r="AH11" s="226">
        <f>MAX(B11:AF11)</f>
        <v>0</v>
      </c>
      <c r="AI11" s="227">
        <f>MIN(B11:AF11)</f>
        <v>0</v>
      </c>
      <c r="AK11" s="228"/>
      <c r="AL11" s="203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</row>
    <row r="12" spans="1:88" x14ac:dyDescent="0.25">
      <c r="A12" s="220" t="s">
        <v>20</v>
      </c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9">
        <v>50</v>
      </c>
      <c r="AH12" s="226">
        <f t="shared" ref="AH12:AH79" si="2">MAX(B12:AF12)</f>
        <v>0</v>
      </c>
      <c r="AI12" s="227">
        <f t="shared" ref="AI12:AI79" si="3">MIN(B12:AF12)</f>
        <v>0</v>
      </c>
      <c r="AK12" s="228"/>
      <c r="AL12" s="203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</row>
    <row r="13" spans="1:88" x14ac:dyDescent="0.25">
      <c r="A13" s="220" t="s">
        <v>21</v>
      </c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9">
        <v>45</v>
      </c>
      <c r="AH13" s="226">
        <f t="shared" si="2"/>
        <v>0</v>
      </c>
      <c r="AI13" s="227">
        <f t="shared" si="3"/>
        <v>0</v>
      </c>
      <c r="AK13" s="228"/>
      <c r="AL13" s="203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</row>
    <row r="14" spans="1:88" x14ac:dyDescent="0.25">
      <c r="A14" s="220" t="s">
        <v>22</v>
      </c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9">
        <v>42</v>
      </c>
      <c r="AH14" s="226">
        <f t="shared" si="2"/>
        <v>0</v>
      </c>
      <c r="AI14" s="227">
        <f t="shared" si="3"/>
        <v>0</v>
      </c>
      <c r="AK14" s="228"/>
      <c r="AL14" s="203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</row>
    <row r="15" spans="1:88" x14ac:dyDescent="0.25">
      <c r="A15" s="220" t="s">
        <v>23</v>
      </c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30">
        <v>30</v>
      </c>
      <c r="AH15" s="226">
        <f t="shared" si="2"/>
        <v>0</v>
      </c>
      <c r="AI15" s="227">
        <f t="shared" si="3"/>
        <v>0</v>
      </c>
      <c r="AK15" s="228"/>
      <c r="AL15" s="203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</row>
    <row r="16" spans="1:88" x14ac:dyDescent="0.25">
      <c r="A16" s="220" t="s">
        <v>24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9">
        <v>25</v>
      </c>
      <c r="AH16" s="226">
        <f t="shared" si="2"/>
        <v>0</v>
      </c>
      <c r="AI16" s="227">
        <f t="shared" si="3"/>
        <v>0</v>
      </c>
      <c r="AK16" s="228"/>
      <c r="AL16" s="203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</row>
    <row r="17" spans="1:88" x14ac:dyDescent="0.25">
      <c r="A17" s="220" t="s">
        <v>25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9">
        <v>25</v>
      </c>
      <c r="AH17" s="226">
        <f t="shared" si="2"/>
        <v>0</v>
      </c>
      <c r="AI17" s="227">
        <f t="shared" si="3"/>
        <v>0</v>
      </c>
      <c r="AK17" s="228"/>
      <c r="AL17" s="203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</row>
    <row r="18" spans="1:88" x14ac:dyDescent="0.25">
      <c r="A18" s="220" t="s">
        <v>26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9">
        <v>25</v>
      </c>
      <c r="AH18" s="226">
        <f t="shared" si="2"/>
        <v>0</v>
      </c>
      <c r="AI18" s="227">
        <f t="shared" si="3"/>
        <v>0</v>
      </c>
      <c r="AK18" s="228"/>
      <c r="AL18" s="203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</row>
    <row r="19" spans="1:88" x14ac:dyDescent="0.25">
      <c r="A19" s="220" t="s">
        <v>27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9">
        <v>24.2</v>
      </c>
      <c r="AH19" s="226">
        <f t="shared" si="2"/>
        <v>0</v>
      </c>
      <c r="AI19" s="227">
        <f t="shared" si="3"/>
        <v>0</v>
      </c>
      <c r="AK19" s="228"/>
      <c r="AL19" s="203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</row>
    <row r="20" spans="1:88" x14ac:dyDescent="0.25">
      <c r="A20" s="220" t="s">
        <v>28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9">
        <v>23.5</v>
      </c>
      <c r="AH20" s="226">
        <f t="shared" si="2"/>
        <v>0</v>
      </c>
      <c r="AI20" s="227">
        <f t="shared" si="3"/>
        <v>0</v>
      </c>
      <c r="AK20" s="228"/>
      <c r="AL20" s="203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</row>
    <row r="21" spans="1:88" x14ac:dyDescent="0.25">
      <c r="A21" s="220" t="s">
        <v>29</v>
      </c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9">
        <v>22.2</v>
      </c>
      <c r="AH21" s="226">
        <f t="shared" si="2"/>
        <v>0</v>
      </c>
      <c r="AI21" s="227">
        <f t="shared" si="3"/>
        <v>0</v>
      </c>
      <c r="AK21" s="228"/>
      <c r="AL21" s="203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</row>
    <row r="22" spans="1:88" x14ac:dyDescent="0.25">
      <c r="A22" s="220" t="s">
        <v>30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9">
        <v>22.1</v>
      </c>
      <c r="AH22" s="226">
        <f t="shared" si="2"/>
        <v>0</v>
      </c>
      <c r="AI22" s="227">
        <f t="shared" si="3"/>
        <v>0</v>
      </c>
      <c r="AK22" s="228"/>
      <c r="AL22" s="203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</row>
    <row r="23" spans="1:88" x14ac:dyDescent="0.25">
      <c r="A23" s="220" t="s">
        <v>31</v>
      </c>
      <c r="B23" s="221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9">
        <v>22</v>
      </c>
      <c r="AH23" s="226">
        <f t="shared" si="2"/>
        <v>0</v>
      </c>
      <c r="AI23" s="227">
        <f t="shared" si="3"/>
        <v>0</v>
      </c>
      <c r="AK23" s="228"/>
      <c r="AL23" s="203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</row>
    <row r="24" spans="1:88" x14ac:dyDescent="0.25">
      <c r="A24" s="220" t="s">
        <v>32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9">
        <v>22</v>
      </c>
      <c r="AH24" s="226">
        <f t="shared" si="2"/>
        <v>0</v>
      </c>
      <c r="AI24" s="227">
        <f t="shared" si="3"/>
        <v>0</v>
      </c>
      <c r="AK24" s="228"/>
      <c r="AL24" s="203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</row>
    <row r="25" spans="1:88" x14ac:dyDescent="0.25">
      <c r="A25" s="220" t="s">
        <v>33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9">
        <v>20</v>
      </c>
      <c r="AH25" s="226">
        <f t="shared" si="2"/>
        <v>0</v>
      </c>
      <c r="AI25" s="227">
        <f t="shared" si="3"/>
        <v>0</v>
      </c>
      <c r="AK25" s="228"/>
      <c r="AL25" s="203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</row>
    <row r="26" spans="1:88" x14ac:dyDescent="0.25">
      <c r="A26" s="220" t="s">
        <v>34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9">
        <v>14.9</v>
      </c>
      <c r="AH26" s="226">
        <f t="shared" si="2"/>
        <v>0</v>
      </c>
      <c r="AI26" s="227">
        <f t="shared" si="3"/>
        <v>0</v>
      </c>
      <c r="AK26" s="228"/>
      <c r="AL26" s="203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</row>
    <row r="27" spans="1:88" x14ac:dyDescent="0.25">
      <c r="A27" s="220" t="s">
        <v>35</v>
      </c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9">
        <v>13.6</v>
      </c>
      <c r="AH27" s="226">
        <f t="shared" si="2"/>
        <v>0</v>
      </c>
      <c r="AI27" s="227">
        <f t="shared" si="3"/>
        <v>0</v>
      </c>
      <c r="AK27" s="228"/>
      <c r="AL27" s="203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</row>
    <row r="28" spans="1:88" x14ac:dyDescent="0.25">
      <c r="A28" s="220" t="s">
        <v>36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9">
        <v>13</v>
      </c>
      <c r="AH28" s="226">
        <f t="shared" si="2"/>
        <v>0</v>
      </c>
      <c r="AI28" s="227">
        <f t="shared" si="3"/>
        <v>0</v>
      </c>
      <c r="AK28" s="228"/>
      <c r="AL28" s="203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</row>
    <row r="29" spans="1:88" x14ac:dyDescent="0.25">
      <c r="A29" s="220" t="s">
        <v>37</v>
      </c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9">
        <v>12</v>
      </c>
      <c r="AH29" s="226">
        <f t="shared" si="2"/>
        <v>0</v>
      </c>
      <c r="AI29" s="227">
        <f t="shared" si="3"/>
        <v>0</v>
      </c>
      <c r="AK29" s="228"/>
      <c r="AL29" s="203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</row>
    <row r="30" spans="1:88" x14ac:dyDescent="0.25">
      <c r="A30" s="220" t="s">
        <v>38</v>
      </c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9">
        <v>12</v>
      </c>
      <c r="AH30" s="226">
        <f t="shared" si="2"/>
        <v>0</v>
      </c>
      <c r="AI30" s="227">
        <f t="shared" si="3"/>
        <v>0</v>
      </c>
      <c r="AK30" s="228"/>
      <c r="AL30" s="203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</row>
    <row r="31" spans="1:88" ht="14.25" customHeight="1" x14ac:dyDescent="0.25">
      <c r="A31" s="220" t="s">
        <v>39</v>
      </c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31">
        <v>22</v>
      </c>
      <c r="AH31" s="226">
        <f>MAX(B31:AF31)</f>
        <v>0</v>
      </c>
      <c r="AI31" s="227">
        <f>MIN(B31:AF31)</f>
        <v>0</v>
      </c>
      <c r="AK31" s="228"/>
      <c r="AL31" s="203"/>
      <c r="AM31" s="199"/>
      <c r="AN31" s="199"/>
      <c r="AO31" s="199"/>
      <c r="AP31" s="199"/>
      <c r="AQ31" s="232"/>
      <c r="AR31" s="233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</row>
    <row r="32" spans="1:88" ht="14.25" customHeight="1" x14ac:dyDescent="0.25">
      <c r="A32" s="220" t="s">
        <v>40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30">
        <v>11.88</v>
      </c>
      <c r="AH32" s="226">
        <f t="shared" si="2"/>
        <v>0</v>
      </c>
      <c r="AI32" s="227">
        <f t="shared" si="3"/>
        <v>0</v>
      </c>
      <c r="AK32" s="228"/>
      <c r="AL32" s="203"/>
      <c r="AM32" s="199"/>
      <c r="AN32" s="199"/>
      <c r="AO32" s="199"/>
      <c r="AP32" s="199"/>
      <c r="AQ32" s="232"/>
      <c r="AR32" s="233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</row>
    <row r="33" spans="1:88" ht="14.25" customHeight="1" x14ac:dyDescent="0.25">
      <c r="A33" s="234" t="s">
        <v>41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35">
        <v>11</v>
      </c>
      <c r="AH33" s="226">
        <f t="shared" si="2"/>
        <v>0</v>
      </c>
      <c r="AI33" s="227">
        <f t="shared" si="3"/>
        <v>0</v>
      </c>
      <c r="AK33" s="228"/>
      <c r="AL33" s="203"/>
      <c r="AM33" s="199"/>
      <c r="AN33" s="199"/>
      <c r="AO33" s="199"/>
      <c r="AP33" s="199"/>
      <c r="AQ33" s="232"/>
      <c r="AR33" s="233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</row>
    <row r="34" spans="1:88" ht="14.25" customHeight="1" x14ac:dyDescent="0.25">
      <c r="A34" s="234" t="s">
        <v>42</v>
      </c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35">
        <v>10</v>
      </c>
      <c r="AH34" s="226">
        <f t="shared" si="2"/>
        <v>0</v>
      </c>
      <c r="AI34" s="227">
        <f t="shared" si="3"/>
        <v>0</v>
      </c>
      <c r="AK34" s="228"/>
      <c r="AL34" s="203"/>
      <c r="AM34" s="199"/>
      <c r="AN34" s="199"/>
      <c r="AO34" s="199"/>
      <c r="AP34" s="199"/>
      <c r="AQ34" s="232"/>
      <c r="AR34" s="233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</row>
    <row r="35" spans="1:88" x14ac:dyDescent="0.25">
      <c r="A35" s="234" t="s">
        <v>43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35">
        <v>10</v>
      </c>
      <c r="AH35" s="226">
        <f t="shared" si="2"/>
        <v>0</v>
      </c>
      <c r="AI35" s="227">
        <f t="shared" si="3"/>
        <v>0</v>
      </c>
      <c r="AK35" s="228"/>
      <c r="AL35" s="203"/>
      <c r="AO35" s="199"/>
      <c r="AP35" s="199"/>
      <c r="AQ35" s="232"/>
      <c r="AR35" s="233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</row>
    <row r="36" spans="1:88" x14ac:dyDescent="0.25">
      <c r="A36" s="236" t="s">
        <v>44</v>
      </c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5">
        <v>85</v>
      </c>
      <c r="AH36" s="226">
        <f t="shared" si="2"/>
        <v>0</v>
      </c>
      <c r="AI36" s="227">
        <f t="shared" si="3"/>
        <v>0</v>
      </c>
      <c r="AK36" s="228"/>
    </row>
    <row r="37" spans="1:88" ht="15.75" thickBot="1" x14ac:dyDescent="0.3">
      <c r="A37" s="238" t="s">
        <v>45</v>
      </c>
      <c r="B37" s="239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5">
        <v>240</v>
      </c>
      <c r="AH37" s="226">
        <f t="shared" si="2"/>
        <v>0</v>
      </c>
      <c r="AI37" s="227">
        <f t="shared" si="3"/>
        <v>0</v>
      </c>
      <c r="AK37" s="228"/>
    </row>
    <row r="38" spans="1:88" ht="15.75" thickBot="1" x14ac:dyDescent="0.3">
      <c r="A38" s="240" t="s">
        <v>46</v>
      </c>
      <c r="B38" s="241">
        <f t="shared" ref="B38:AG38" si="4">SUM(B11:B36)</f>
        <v>0</v>
      </c>
      <c r="C38" s="241">
        <f t="shared" si="4"/>
        <v>0</v>
      </c>
      <c r="D38" s="241">
        <f t="shared" si="4"/>
        <v>0</v>
      </c>
      <c r="E38" s="241">
        <f t="shared" si="4"/>
        <v>0</v>
      </c>
      <c r="F38" s="241">
        <f t="shared" si="4"/>
        <v>0</v>
      </c>
      <c r="G38" s="241">
        <f t="shared" si="4"/>
        <v>0</v>
      </c>
      <c r="H38" s="241">
        <f t="shared" si="4"/>
        <v>0</v>
      </c>
      <c r="I38" s="241">
        <f t="shared" si="4"/>
        <v>0</v>
      </c>
      <c r="J38" s="241">
        <f t="shared" si="4"/>
        <v>0</v>
      </c>
      <c r="K38" s="241">
        <f t="shared" si="4"/>
        <v>0</v>
      </c>
      <c r="L38" s="241">
        <f t="shared" si="4"/>
        <v>0</v>
      </c>
      <c r="M38" s="241">
        <f t="shared" si="4"/>
        <v>0</v>
      </c>
      <c r="N38" s="241">
        <f t="shared" si="4"/>
        <v>0</v>
      </c>
      <c r="O38" s="241">
        <f t="shared" si="4"/>
        <v>0</v>
      </c>
      <c r="P38" s="241">
        <f t="shared" si="4"/>
        <v>0</v>
      </c>
      <c r="Q38" s="241">
        <f t="shared" si="4"/>
        <v>0</v>
      </c>
      <c r="R38" s="241">
        <f t="shared" si="4"/>
        <v>0</v>
      </c>
      <c r="S38" s="241">
        <f t="shared" si="4"/>
        <v>0</v>
      </c>
      <c r="T38" s="241">
        <f t="shared" si="4"/>
        <v>0</v>
      </c>
      <c r="U38" s="241">
        <f t="shared" si="4"/>
        <v>0</v>
      </c>
      <c r="V38" s="241">
        <f t="shared" si="4"/>
        <v>0</v>
      </c>
      <c r="W38" s="241">
        <f t="shared" si="4"/>
        <v>0</v>
      </c>
      <c r="X38" s="241">
        <f t="shared" si="4"/>
        <v>0</v>
      </c>
      <c r="Y38" s="241">
        <f t="shared" si="4"/>
        <v>0</v>
      </c>
      <c r="Z38" s="241">
        <f t="shared" si="4"/>
        <v>0</v>
      </c>
      <c r="AA38" s="241">
        <f t="shared" si="4"/>
        <v>0</v>
      </c>
      <c r="AB38" s="241">
        <f t="shared" si="4"/>
        <v>0</v>
      </c>
      <c r="AC38" s="241">
        <f t="shared" si="4"/>
        <v>0</v>
      </c>
      <c r="AD38" s="241">
        <f t="shared" si="4"/>
        <v>0</v>
      </c>
      <c r="AE38" s="241">
        <f t="shared" si="4"/>
        <v>0</v>
      </c>
      <c r="AF38" s="241">
        <f t="shared" si="4"/>
        <v>0</v>
      </c>
      <c r="AG38" s="242">
        <f t="shared" si="4"/>
        <v>665.78</v>
      </c>
      <c r="AH38" s="226">
        <f t="shared" si="2"/>
        <v>0</v>
      </c>
      <c r="AI38" s="227">
        <f t="shared" si="3"/>
        <v>0</v>
      </c>
      <c r="AK38" s="228"/>
    </row>
    <row r="39" spans="1:88" x14ac:dyDescent="0.25">
      <c r="A39" s="243" t="s">
        <v>47</v>
      </c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30">
        <v>456</v>
      </c>
      <c r="AH39" s="226">
        <f t="shared" si="2"/>
        <v>0</v>
      </c>
      <c r="AI39" s="227">
        <f t="shared" si="3"/>
        <v>0</v>
      </c>
      <c r="AK39" s="228"/>
    </row>
    <row r="40" spans="1:88" x14ac:dyDescent="0.25">
      <c r="A40" s="244" t="s">
        <v>48</v>
      </c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35">
        <v>60</v>
      </c>
      <c r="AH40" s="226">
        <f t="shared" si="2"/>
        <v>0</v>
      </c>
      <c r="AI40" s="227">
        <f t="shared" si="3"/>
        <v>0</v>
      </c>
      <c r="AK40" s="228"/>
    </row>
    <row r="41" spans="1:88" ht="15.75" thickBot="1" x14ac:dyDescent="0.3">
      <c r="A41" s="246" t="s">
        <v>49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8">
        <v>22.1</v>
      </c>
      <c r="AH41" s="226">
        <f t="shared" si="2"/>
        <v>0</v>
      </c>
      <c r="AI41" s="227">
        <f t="shared" si="3"/>
        <v>0</v>
      </c>
      <c r="AK41" s="228"/>
    </row>
    <row r="42" spans="1:88" ht="15.75" thickBot="1" x14ac:dyDescent="0.3">
      <c r="A42" s="249" t="s">
        <v>50</v>
      </c>
      <c r="B42" s="241">
        <f>SUM(B39:B41)</f>
        <v>0</v>
      </c>
      <c r="C42" s="241">
        <f t="shared" ref="C42:AG42" si="5">SUM(C39:C41)</f>
        <v>0</v>
      </c>
      <c r="D42" s="241">
        <f t="shared" si="5"/>
        <v>0</v>
      </c>
      <c r="E42" s="241">
        <f t="shared" si="5"/>
        <v>0</v>
      </c>
      <c r="F42" s="241">
        <f t="shared" si="5"/>
        <v>0</v>
      </c>
      <c r="G42" s="241">
        <f t="shared" si="5"/>
        <v>0</v>
      </c>
      <c r="H42" s="241">
        <f t="shared" si="5"/>
        <v>0</v>
      </c>
      <c r="I42" s="241">
        <f t="shared" si="5"/>
        <v>0</v>
      </c>
      <c r="J42" s="241">
        <f t="shared" si="5"/>
        <v>0</v>
      </c>
      <c r="K42" s="241">
        <f t="shared" si="5"/>
        <v>0</v>
      </c>
      <c r="L42" s="241">
        <f t="shared" si="5"/>
        <v>0</v>
      </c>
      <c r="M42" s="241">
        <f t="shared" si="5"/>
        <v>0</v>
      </c>
      <c r="N42" s="241">
        <f t="shared" si="5"/>
        <v>0</v>
      </c>
      <c r="O42" s="241">
        <f t="shared" si="5"/>
        <v>0</v>
      </c>
      <c r="P42" s="241">
        <f t="shared" si="5"/>
        <v>0</v>
      </c>
      <c r="Q42" s="241">
        <f t="shared" si="5"/>
        <v>0</v>
      </c>
      <c r="R42" s="241">
        <f t="shared" si="5"/>
        <v>0</v>
      </c>
      <c r="S42" s="241">
        <f t="shared" si="5"/>
        <v>0</v>
      </c>
      <c r="T42" s="241">
        <f t="shared" si="5"/>
        <v>0</v>
      </c>
      <c r="U42" s="241">
        <f t="shared" si="5"/>
        <v>0</v>
      </c>
      <c r="V42" s="241">
        <f t="shared" si="5"/>
        <v>0</v>
      </c>
      <c r="W42" s="241">
        <f t="shared" si="5"/>
        <v>0</v>
      </c>
      <c r="X42" s="241">
        <f t="shared" si="5"/>
        <v>0</v>
      </c>
      <c r="Y42" s="241">
        <f t="shared" si="5"/>
        <v>0</v>
      </c>
      <c r="Z42" s="241">
        <f t="shared" si="5"/>
        <v>0</v>
      </c>
      <c r="AA42" s="241">
        <f t="shared" si="5"/>
        <v>0</v>
      </c>
      <c r="AB42" s="241">
        <f t="shared" si="5"/>
        <v>0</v>
      </c>
      <c r="AC42" s="241">
        <f t="shared" si="5"/>
        <v>0</v>
      </c>
      <c r="AD42" s="241">
        <f t="shared" si="5"/>
        <v>0</v>
      </c>
      <c r="AE42" s="241">
        <f t="shared" si="5"/>
        <v>0</v>
      </c>
      <c r="AF42" s="241">
        <f t="shared" si="5"/>
        <v>0</v>
      </c>
      <c r="AG42" s="242">
        <f t="shared" si="5"/>
        <v>538.1</v>
      </c>
      <c r="AH42" s="226">
        <f t="shared" si="2"/>
        <v>0</v>
      </c>
      <c r="AI42" s="227">
        <f t="shared" si="3"/>
        <v>0</v>
      </c>
      <c r="AK42" s="228"/>
    </row>
    <row r="43" spans="1:88" x14ac:dyDescent="0.25">
      <c r="A43" s="220" t="s">
        <v>51</v>
      </c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30">
        <v>144</v>
      </c>
      <c r="AH43" s="226">
        <f t="shared" si="2"/>
        <v>0</v>
      </c>
      <c r="AI43" s="227">
        <f t="shared" si="3"/>
        <v>0</v>
      </c>
      <c r="AK43" s="228"/>
    </row>
    <row r="44" spans="1:88" x14ac:dyDescent="0.25">
      <c r="A44" s="234" t="s">
        <v>52</v>
      </c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21"/>
      <c r="N44" s="221"/>
      <c r="O44" s="221"/>
      <c r="P44" s="221"/>
      <c r="Q44" s="221"/>
      <c r="R44" s="221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35">
        <v>70</v>
      </c>
      <c r="AH44" s="226">
        <f t="shared" si="2"/>
        <v>0</v>
      </c>
      <c r="AI44" s="227">
        <f t="shared" si="3"/>
        <v>0</v>
      </c>
      <c r="AK44" s="228"/>
    </row>
    <row r="45" spans="1:88" x14ac:dyDescent="0.25">
      <c r="A45" s="234" t="s">
        <v>53</v>
      </c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21"/>
      <c r="N45" s="221"/>
      <c r="O45" s="221"/>
      <c r="P45" s="221"/>
      <c r="Q45" s="221"/>
      <c r="R45" s="221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35">
        <v>69</v>
      </c>
      <c r="AH45" s="226">
        <f t="shared" si="2"/>
        <v>0</v>
      </c>
      <c r="AI45" s="227">
        <f t="shared" si="3"/>
        <v>0</v>
      </c>
      <c r="AK45" s="228"/>
    </row>
    <row r="46" spans="1:88" x14ac:dyDescent="0.25">
      <c r="A46" s="234" t="s">
        <v>54</v>
      </c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21"/>
      <c r="N46" s="221"/>
      <c r="O46" s="221"/>
      <c r="P46" s="221"/>
      <c r="Q46" s="221"/>
      <c r="R46" s="221"/>
      <c r="S46" s="221"/>
      <c r="T46" s="221"/>
      <c r="U46" s="221"/>
      <c r="V46" s="245"/>
      <c r="W46" s="245"/>
      <c r="X46" s="245"/>
      <c r="Y46" s="245"/>
      <c r="Z46" s="245"/>
      <c r="AA46" s="245"/>
      <c r="AB46" s="237"/>
      <c r="AC46" s="237"/>
      <c r="AD46" s="237"/>
      <c r="AE46" s="237"/>
      <c r="AF46" s="237"/>
      <c r="AG46" s="235">
        <v>60</v>
      </c>
      <c r="AH46" s="226">
        <f t="shared" si="2"/>
        <v>0</v>
      </c>
      <c r="AI46" s="227">
        <f t="shared" si="3"/>
        <v>0</v>
      </c>
      <c r="AK46" s="228"/>
    </row>
    <row r="47" spans="1:88" x14ac:dyDescent="0.25">
      <c r="A47" s="234" t="s">
        <v>55</v>
      </c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21"/>
      <c r="N47" s="221"/>
      <c r="O47" s="221"/>
      <c r="P47" s="221"/>
      <c r="Q47" s="221"/>
      <c r="R47" s="221"/>
      <c r="S47" s="221"/>
      <c r="T47" s="221"/>
      <c r="U47" s="221"/>
      <c r="V47" s="245"/>
      <c r="W47" s="245"/>
      <c r="X47" s="245"/>
      <c r="Y47" s="245"/>
      <c r="Z47" s="245"/>
      <c r="AA47" s="245"/>
      <c r="AB47" s="237"/>
      <c r="AC47" s="237"/>
      <c r="AD47" s="237"/>
      <c r="AE47" s="237"/>
      <c r="AF47" s="237"/>
      <c r="AG47" s="235">
        <v>30</v>
      </c>
      <c r="AH47" s="226">
        <f t="shared" si="2"/>
        <v>0</v>
      </c>
      <c r="AI47" s="227">
        <f t="shared" si="3"/>
        <v>0</v>
      </c>
      <c r="AK47" s="228"/>
    </row>
    <row r="48" spans="1:88" x14ac:dyDescent="0.25">
      <c r="A48" s="234" t="s">
        <v>56</v>
      </c>
      <c r="B48" s="245"/>
      <c r="C48" s="245"/>
      <c r="D48" s="245"/>
      <c r="E48" s="245"/>
      <c r="F48" s="237"/>
      <c r="G48" s="237"/>
      <c r="H48" s="237"/>
      <c r="I48" s="237"/>
      <c r="J48" s="237"/>
      <c r="K48" s="237"/>
      <c r="L48" s="237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45"/>
      <c r="AC48" s="245"/>
      <c r="AD48" s="245"/>
      <c r="AE48" s="245"/>
      <c r="AF48" s="245"/>
      <c r="AG48" s="235">
        <v>25</v>
      </c>
      <c r="AH48" s="226">
        <f t="shared" si="2"/>
        <v>0</v>
      </c>
      <c r="AI48" s="227">
        <f t="shared" si="3"/>
        <v>0</v>
      </c>
      <c r="AK48" s="228"/>
    </row>
    <row r="49" spans="1:41" x14ac:dyDescent="0.25">
      <c r="A49" s="234" t="s">
        <v>57</v>
      </c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45"/>
      <c r="AC49" s="245"/>
      <c r="AD49" s="245"/>
      <c r="AE49" s="245"/>
      <c r="AF49" s="245"/>
      <c r="AG49" s="235">
        <v>24</v>
      </c>
      <c r="AH49" s="226">
        <f t="shared" si="2"/>
        <v>0</v>
      </c>
      <c r="AI49" s="227">
        <f t="shared" si="3"/>
        <v>0</v>
      </c>
      <c r="AK49" s="228"/>
    </row>
    <row r="50" spans="1:41" x14ac:dyDescent="0.25">
      <c r="A50" s="234" t="s">
        <v>58</v>
      </c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45"/>
      <c r="AC50" s="245"/>
      <c r="AD50" s="245"/>
      <c r="AE50" s="245"/>
      <c r="AF50" s="245"/>
      <c r="AG50" s="235">
        <v>15</v>
      </c>
      <c r="AH50" s="226">
        <f t="shared" si="2"/>
        <v>0</v>
      </c>
      <c r="AI50" s="227">
        <f t="shared" si="3"/>
        <v>0</v>
      </c>
      <c r="AK50" s="228"/>
      <c r="AL50" s="250"/>
      <c r="AO50" s="250"/>
    </row>
    <row r="51" spans="1:41" s="250" customFormat="1" x14ac:dyDescent="0.25">
      <c r="A51" s="234" t="s">
        <v>59</v>
      </c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45"/>
      <c r="AC51" s="245"/>
      <c r="AD51" s="245"/>
      <c r="AE51" s="245"/>
      <c r="AF51" s="245"/>
      <c r="AG51" s="235">
        <v>14.1</v>
      </c>
      <c r="AH51" s="226">
        <f t="shared" si="2"/>
        <v>0</v>
      </c>
      <c r="AI51" s="227">
        <f t="shared" si="3"/>
        <v>0</v>
      </c>
      <c r="AJ51" s="175"/>
      <c r="AK51" s="228"/>
      <c r="AL51" s="176"/>
      <c r="AM51" s="176"/>
      <c r="AN51" s="176"/>
      <c r="AO51" s="176"/>
    </row>
    <row r="52" spans="1:41" x14ac:dyDescent="0.25">
      <c r="A52" s="251" t="s">
        <v>60</v>
      </c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45"/>
      <c r="AC52" s="245"/>
      <c r="AD52" s="245"/>
      <c r="AE52" s="245"/>
      <c r="AF52" s="245"/>
      <c r="AG52" s="235">
        <v>14</v>
      </c>
      <c r="AH52" s="226">
        <f t="shared" si="2"/>
        <v>0</v>
      </c>
      <c r="AI52" s="227">
        <f t="shared" si="3"/>
        <v>0</v>
      </c>
      <c r="AK52" s="228"/>
    </row>
    <row r="53" spans="1:41" x14ac:dyDescent="0.25">
      <c r="A53" s="234" t="s">
        <v>61</v>
      </c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45"/>
      <c r="AC53" s="245"/>
      <c r="AD53" s="245"/>
      <c r="AE53" s="245"/>
      <c r="AF53" s="245"/>
      <c r="AG53" s="235">
        <v>10.050000000000001</v>
      </c>
      <c r="AH53" s="226">
        <f t="shared" si="2"/>
        <v>0</v>
      </c>
      <c r="AI53" s="227">
        <f t="shared" si="3"/>
        <v>0</v>
      </c>
      <c r="AK53" s="228"/>
    </row>
    <row r="54" spans="1:41" x14ac:dyDescent="0.25">
      <c r="A54" s="234" t="s">
        <v>62</v>
      </c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45"/>
      <c r="AC54" s="245"/>
      <c r="AD54" s="245"/>
      <c r="AE54" s="245"/>
      <c r="AF54" s="245"/>
      <c r="AG54" s="235">
        <v>6.2</v>
      </c>
      <c r="AH54" s="226">
        <f t="shared" si="2"/>
        <v>0</v>
      </c>
      <c r="AI54" s="227">
        <f t="shared" si="3"/>
        <v>0</v>
      </c>
      <c r="AK54" s="228"/>
    </row>
    <row r="55" spans="1:41" ht="15.75" thickBot="1" x14ac:dyDescent="0.3">
      <c r="A55" s="236" t="s">
        <v>63</v>
      </c>
      <c r="B55" s="252">
        <v>3.54</v>
      </c>
      <c r="C55" s="252">
        <v>3.54</v>
      </c>
      <c r="D55" s="252">
        <v>3.54</v>
      </c>
      <c r="E55" s="252">
        <v>3.54</v>
      </c>
      <c r="F55" s="252">
        <v>3.54</v>
      </c>
      <c r="G55" s="252">
        <v>3.54</v>
      </c>
      <c r="H55" s="252">
        <v>3.54</v>
      </c>
      <c r="I55" s="252">
        <v>3.54</v>
      </c>
      <c r="J55" s="252">
        <v>3.54</v>
      </c>
      <c r="K55" s="252">
        <v>3.54</v>
      </c>
      <c r="L55" s="252">
        <v>3.54</v>
      </c>
      <c r="M55" s="252">
        <v>3.54</v>
      </c>
      <c r="N55" s="252">
        <v>3.54</v>
      </c>
      <c r="O55" s="252">
        <v>3.54</v>
      </c>
      <c r="P55" s="252">
        <v>3.54</v>
      </c>
      <c r="Q55" s="252">
        <v>3.54</v>
      </c>
      <c r="R55" s="252">
        <v>3.54</v>
      </c>
      <c r="S55" s="252">
        <v>3.54</v>
      </c>
      <c r="T55" s="252">
        <v>3.54</v>
      </c>
      <c r="U55" s="252">
        <v>3.54</v>
      </c>
      <c r="V55" s="252">
        <v>3.54</v>
      </c>
      <c r="W55" s="252">
        <v>3.54</v>
      </c>
      <c r="X55" s="252">
        <v>3.54</v>
      </c>
      <c r="Y55" s="252">
        <v>3.54</v>
      </c>
      <c r="Z55" s="252">
        <v>3.54</v>
      </c>
      <c r="AA55" s="252">
        <v>3.54</v>
      </c>
      <c r="AB55" s="252">
        <v>3.54</v>
      </c>
      <c r="AC55" s="252">
        <v>3.54</v>
      </c>
      <c r="AD55" s="252">
        <v>3.54</v>
      </c>
      <c r="AE55" s="252">
        <v>3.54</v>
      </c>
      <c r="AF55" s="252">
        <v>3.54</v>
      </c>
      <c r="AG55" s="253">
        <f>AG222</f>
        <v>8.56</v>
      </c>
      <c r="AH55" s="226">
        <f t="shared" si="2"/>
        <v>3.54</v>
      </c>
      <c r="AI55" s="227">
        <f t="shared" si="3"/>
        <v>3.54</v>
      </c>
      <c r="AK55" s="228"/>
    </row>
    <row r="56" spans="1:41" ht="15.75" thickBot="1" x14ac:dyDescent="0.3">
      <c r="A56" s="254" t="s">
        <v>64</v>
      </c>
      <c r="B56" s="241">
        <f>SUM(B43:B55)</f>
        <v>3.54</v>
      </c>
      <c r="C56" s="241">
        <f t="shared" ref="C56:AG56" si="6">SUM(C43:C55)</f>
        <v>3.54</v>
      </c>
      <c r="D56" s="241">
        <f t="shared" si="6"/>
        <v>3.54</v>
      </c>
      <c r="E56" s="241">
        <f t="shared" si="6"/>
        <v>3.54</v>
      </c>
      <c r="F56" s="241">
        <f t="shared" si="6"/>
        <v>3.54</v>
      </c>
      <c r="G56" s="241">
        <f t="shared" si="6"/>
        <v>3.54</v>
      </c>
      <c r="H56" s="241">
        <f t="shared" si="6"/>
        <v>3.54</v>
      </c>
      <c r="I56" s="241">
        <f t="shared" si="6"/>
        <v>3.54</v>
      </c>
      <c r="J56" s="241">
        <f t="shared" si="6"/>
        <v>3.54</v>
      </c>
      <c r="K56" s="241">
        <f t="shared" si="6"/>
        <v>3.54</v>
      </c>
      <c r="L56" s="241">
        <f t="shared" si="6"/>
        <v>3.54</v>
      </c>
      <c r="M56" s="241">
        <f t="shared" si="6"/>
        <v>3.54</v>
      </c>
      <c r="N56" s="241">
        <f t="shared" si="6"/>
        <v>3.54</v>
      </c>
      <c r="O56" s="241">
        <f t="shared" si="6"/>
        <v>3.54</v>
      </c>
      <c r="P56" s="241">
        <f t="shared" si="6"/>
        <v>3.54</v>
      </c>
      <c r="Q56" s="241">
        <f t="shared" si="6"/>
        <v>3.54</v>
      </c>
      <c r="R56" s="241">
        <f t="shared" si="6"/>
        <v>3.54</v>
      </c>
      <c r="S56" s="241">
        <f t="shared" si="6"/>
        <v>3.54</v>
      </c>
      <c r="T56" s="241">
        <f t="shared" si="6"/>
        <v>3.54</v>
      </c>
      <c r="U56" s="241">
        <f t="shared" si="6"/>
        <v>3.54</v>
      </c>
      <c r="V56" s="241">
        <f t="shared" si="6"/>
        <v>3.54</v>
      </c>
      <c r="W56" s="241">
        <f t="shared" si="6"/>
        <v>3.54</v>
      </c>
      <c r="X56" s="241">
        <f t="shared" si="6"/>
        <v>3.54</v>
      </c>
      <c r="Y56" s="241">
        <f t="shared" si="6"/>
        <v>3.54</v>
      </c>
      <c r="Z56" s="241">
        <f t="shared" si="6"/>
        <v>3.54</v>
      </c>
      <c r="AA56" s="241">
        <f t="shared" si="6"/>
        <v>3.54</v>
      </c>
      <c r="AB56" s="241">
        <f t="shared" si="6"/>
        <v>3.54</v>
      </c>
      <c r="AC56" s="241">
        <f t="shared" si="6"/>
        <v>3.54</v>
      </c>
      <c r="AD56" s="241">
        <f t="shared" si="6"/>
        <v>3.54</v>
      </c>
      <c r="AE56" s="241">
        <f t="shared" si="6"/>
        <v>3.54</v>
      </c>
      <c r="AF56" s="241">
        <f t="shared" si="6"/>
        <v>3.54</v>
      </c>
      <c r="AG56" s="242">
        <f t="shared" si="6"/>
        <v>489.91</v>
      </c>
      <c r="AH56" s="226">
        <f t="shared" si="2"/>
        <v>3.54</v>
      </c>
      <c r="AI56" s="227">
        <f t="shared" si="3"/>
        <v>3.54</v>
      </c>
      <c r="AK56" s="228"/>
    </row>
    <row r="57" spans="1:41" x14ac:dyDescent="0.25">
      <c r="A57" s="220" t="s">
        <v>65</v>
      </c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30">
        <v>60</v>
      </c>
      <c r="AH57" s="226">
        <f t="shared" si="2"/>
        <v>0</v>
      </c>
      <c r="AI57" s="227">
        <f t="shared" si="3"/>
        <v>0</v>
      </c>
      <c r="AK57" s="228"/>
    </row>
    <row r="58" spans="1:41" x14ac:dyDescent="0.25">
      <c r="A58" s="234" t="s">
        <v>66</v>
      </c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35">
        <v>32</v>
      </c>
      <c r="AH58" s="226">
        <f t="shared" si="2"/>
        <v>0</v>
      </c>
      <c r="AI58" s="227">
        <f t="shared" si="3"/>
        <v>0</v>
      </c>
      <c r="AK58" s="228"/>
    </row>
    <row r="59" spans="1:41" ht="15.75" thickBot="1" x14ac:dyDescent="0.3">
      <c r="A59" s="251" t="s">
        <v>67</v>
      </c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8">
        <v>14</v>
      </c>
      <c r="AH59" s="226">
        <f t="shared" si="2"/>
        <v>0</v>
      </c>
      <c r="AI59" s="227">
        <f t="shared" si="3"/>
        <v>0</v>
      </c>
      <c r="AK59" s="228"/>
    </row>
    <row r="60" spans="1:41" ht="15.75" thickBot="1" x14ac:dyDescent="0.3">
      <c r="A60" s="254" t="s">
        <v>68</v>
      </c>
      <c r="B60" s="241">
        <f>SUM(B57:B59)</f>
        <v>0</v>
      </c>
      <c r="C60" s="241">
        <f t="shared" ref="C60:AG60" si="7">SUM(C57:C59)</f>
        <v>0</v>
      </c>
      <c r="D60" s="241">
        <f t="shared" si="7"/>
        <v>0</v>
      </c>
      <c r="E60" s="241">
        <f t="shared" si="7"/>
        <v>0</v>
      </c>
      <c r="F60" s="241">
        <f t="shared" si="7"/>
        <v>0</v>
      </c>
      <c r="G60" s="241">
        <f t="shared" si="7"/>
        <v>0</v>
      </c>
      <c r="H60" s="241">
        <f t="shared" si="7"/>
        <v>0</v>
      </c>
      <c r="I60" s="241">
        <f t="shared" si="7"/>
        <v>0</v>
      </c>
      <c r="J60" s="241">
        <f t="shared" si="7"/>
        <v>0</v>
      </c>
      <c r="K60" s="241">
        <f t="shared" si="7"/>
        <v>0</v>
      </c>
      <c r="L60" s="241">
        <f t="shared" si="7"/>
        <v>0</v>
      </c>
      <c r="M60" s="241">
        <f t="shared" si="7"/>
        <v>0</v>
      </c>
      <c r="N60" s="241">
        <f t="shared" si="7"/>
        <v>0</v>
      </c>
      <c r="O60" s="241">
        <f t="shared" si="7"/>
        <v>0</v>
      </c>
      <c r="P60" s="241">
        <f t="shared" si="7"/>
        <v>0</v>
      </c>
      <c r="Q60" s="241">
        <f t="shared" si="7"/>
        <v>0</v>
      </c>
      <c r="R60" s="241">
        <f t="shared" si="7"/>
        <v>0</v>
      </c>
      <c r="S60" s="241">
        <f t="shared" si="7"/>
        <v>0</v>
      </c>
      <c r="T60" s="241">
        <f t="shared" si="7"/>
        <v>0</v>
      </c>
      <c r="U60" s="241">
        <f t="shared" si="7"/>
        <v>0</v>
      </c>
      <c r="V60" s="241">
        <f t="shared" si="7"/>
        <v>0</v>
      </c>
      <c r="W60" s="241">
        <f t="shared" si="7"/>
        <v>0</v>
      </c>
      <c r="X60" s="241">
        <f t="shared" si="7"/>
        <v>0</v>
      </c>
      <c r="Y60" s="241">
        <f t="shared" si="7"/>
        <v>0</v>
      </c>
      <c r="Z60" s="241">
        <f t="shared" si="7"/>
        <v>0</v>
      </c>
      <c r="AA60" s="241">
        <f t="shared" si="7"/>
        <v>0</v>
      </c>
      <c r="AB60" s="241">
        <f t="shared" si="7"/>
        <v>0</v>
      </c>
      <c r="AC60" s="241">
        <f t="shared" si="7"/>
        <v>0</v>
      </c>
      <c r="AD60" s="241">
        <f t="shared" si="7"/>
        <v>0</v>
      </c>
      <c r="AE60" s="241">
        <f t="shared" si="7"/>
        <v>0</v>
      </c>
      <c r="AF60" s="241">
        <f t="shared" si="7"/>
        <v>0</v>
      </c>
      <c r="AG60" s="242">
        <f t="shared" si="7"/>
        <v>106</v>
      </c>
      <c r="AH60" s="226">
        <f t="shared" si="2"/>
        <v>0</v>
      </c>
      <c r="AI60" s="227">
        <f t="shared" si="3"/>
        <v>0</v>
      </c>
      <c r="AK60" s="228"/>
    </row>
    <row r="61" spans="1:41" x14ac:dyDescent="0.25">
      <c r="A61" s="220" t="s">
        <v>69</v>
      </c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30"/>
      <c r="AH61" s="226">
        <f t="shared" si="2"/>
        <v>0</v>
      </c>
      <c r="AI61" s="227">
        <f t="shared" si="3"/>
        <v>0</v>
      </c>
      <c r="AK61" s="228"/>
    </row>
    <row r="62" spans="1:41" x14ac:dyDescent="0.25">
      <c r="A62" s="234" t="s">
        <v>70</v>
      </c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35"/>
      <c r="AH62" s="226">
        <f t="shared" si="2"/>
        <v>0</v>
      </c>
      <c r="AI62" s="227">
        <f t="shared" si="3"/>
        <v>0</v>
      </c>
      <c r="AK62" s="228"/>
    </row>
    <row r="63" spans="1:41" x14ac:dyDescent="0.25">
      <c r="A63" s="234" t="s">
        <v>71</v>
      </c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55"/>
      <c r="AH63" s="226">
        <f t="shared" si="2"/>
        <v>0</v>
      </c>
      <c r="AI63" s="227">
        <f t="shared" si="3"/>
        <v>0</v>
      </c>
      <c r="AK63" s="228"/>
    </row>
    <row r="64" spans="1:41" x14ac:dyDescent="0.25">
      <c r="A64" s="234" t="s">
        <v>72</v>
      </c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5"/>
      <c r="AH64" s="226">
        <f t="shared" si="2"/>
        <v>0</v>
      </c>
      <c r="AI64" s="227">
        <f t="shared" si="3"/>
        <v>0</v>
      </c>
      <c r="AK64" s="228"/>
    </row>
    <row r="65" spans="1:88" x14ac:dyDescent="0.25">
      <c r="A65" s="234" t="s">
        <v>73</v>
      </c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55"/>
      <c r="AH65" s="226">
        <f t="shared" si="2"/>
        <v>0</v>
      </c>
      <c r="AI65" s="227">
        <f t="shared" si="3"/>
        <v>0</v>
      </c>
      <c r="AK65" s="228"/>
    </row>
    <row r="66" spans="1:88" x14ac:dyDescent="0.25">
      <c r="A66" s="234" t="s">
        <v>74</v>
      </c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5"/>
      <c r="AH66" s="226">
        <f t="shared" si="2"/>
        <v>0</v>
      </c>
      <c r="AI66" s="227">
        <f t="shared" si="3"/>
        <v>0</v>
      </c>
      <c r="AK66" s="228"/>
    </row>
    <row r="67" spans="1:88" x14ac:dyDescent="0.25">
      <c r="A67" s="234" t="s">
        <v>75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5"/>
      <c r="AH67" s="226">
        <f t="shared" si="2"/>
        <v>0</v>
      </c>
      <c r="AI67" s="227">
        <f t="shared" si="3"/>
        <v>0</v>
      </c>
      <c r="AK67" s="228"/>
    </row>
    <row r="68" spans="1:88" x14ac:dyDescent="0.25">
      <c r="A68" s="234" t="s">
        <v>76</v>
      </c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5"/>
      <c r="AH68" s="226">
        <f t="shared" si="2"/>
        <v>0</v>
      </c>
      <c r="AI68" s="227">
        <f t="shared" si="3"/>
        <v>0</v>
      </c>
      <c r="AK68" s="228"/>
    </row>
    <row r="69" spans="1:88" x14ac:dyDescent="0.25">
      <c r="A69" s="234" t="s">
        <v>77</v>
      </c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5"/>
      <c r="AH69" s="226">
        <f t="shared" si="2"/>
        <v>0</v>
      </c>
      <c r="AI69" s="227">
        <f t="shared" si="3"/>
        <v>0</v>
      </c>
      <c r="AK69" s="228"/>
    </row>
    <row r="70" spans="1:88" x14ac:dyDescent="0.25">
      <c r="A70" s="258" t="s">
        <v>78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60"/>
      <c r="AH70" s="226">
        <f t="shared" si="2"/>
        <v>0</v>
      </c>
      <c r="AI70" s="227">
        <f t="shared" si="3"/>
        <v>0</v>
      </c>
      <c r="AK70" s="228"/>
    </row>
    <row r="71" spans="1:88" ht="15.75" thickBot="1" x14ac:dyDescent="0.3">
      <c r="A71" s="258" t="s">
        <v>79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60"/>
      <c r="AH71" s="226">
        <f t="shared" si="2"/>
        <v>0</v>
      </c>
      <c r="AI71" s="227">
        <f t="shared" si="3"/>
        <v>0</v>
      </c>
      <c r="AK71" s="228"/>
    </row>
    <row r="72" spans="1:88" ht="15.75" thickBot="1" x14ac:dyDescent="0.3">
      <c r="A72" s="254" t="s">
        <v>80</v>
      </c>
      <c r="B72" s="241">
        <f>SUMIF(B61:B71,"&gt;0")</f>
        <v>0</v>
      </c>
      <c r="C72" s="241">
        <f t="shared" ref="C72:L72" si="8">SUMIF(C61:C71,"&gt;0")</f>
        <v>0</v>
      </c>
      <c r="D72" s="241">
        <f t="shared" si="8"/>
        <v>0</v>
      </c>
      <c r="E72" s="241">
        <f t="shared" si="8"/>
        <v>0</v>
      </c>
      <c r="F72" s="241">
        <f t="shared" si="8"/>
        <v>0</v>
      </c>
      <c r="G72" s="241">
        <f t="shared" si="8"/>
        <v>0</v>
      </c>
      <c r="H72" s="241">
        <f t="shared" si="8"/>
        <v>0</v>
      </c>
      <c r="I72" s="241">
        <f t="shared" si="8"/>
        <v>0</v>
      </c>
      <c r="J72" s="241">
        <f t="shared" si="8"/>
        <v>0</v>
      </c>
      <c r="K72" s="241">
        <f t="shared" si="8"/>
        <v>0</v>
      </c>
      <c r="L72" s="241">
        <f t="shared" si="8"/>
        <v>0</v>
      </c>
      <c r="M72" s="241">
        <f>SUMIF(M61:M71,"&gt;0")</f>
        <v>0</v>
      </c>
      <c r="N72" s="241">
        <f t="shared" ref="N72:AF72" si="9">SUMIF(N61:N71,"&gt;0")</f>
        <v>0</v>
      </c>
      <c r="O72" s="241">
        <f t="shared" si="9"/>
        <v>0</v>
      </c>
      <c r="P72" s="241">
        <f t="shared" si="9"/>
        <v>0</v>
      </c>
      <c r="Q72" s="241">
        <f t="shared" si="9"/>
        <v>0</v>
      </c>
      <c r="R72" s="241">
        <f t="shared" si="9"/>
        <v>0</v>
      </c>
      <c r="S72" s="241">
        <f t="shared" si="9"/>
        <v>0</v>
      </c>
      <c r="T72" s="241">
        <f t="shared" si="9"/>
        <v>0</v>
      </c>
      <c r="U72" s="241">
        <f t="shared" si="9"/>
        <v>0</v>
      </c>
      <c r="V72" s="241">
        <f t="shared" si="9"/>
        <v>0</v>
      </c>
      <c r="W72" s="241">
        <f t="shared" si="9"/>
        <v>0</v>
      </c>
      <c r="X72" s="241">
        <f t="shared" si="9"/>
        <v>0</v>
      </c>
      <c r="Y72" s="241">
        <f t="shared" si="9"/>
        <v>0</v>
      </c>
      <c r="Z72" s="241">
        <f t="shared" si="9"/>
        <v>0</v>
      </c>
      <c r="AA72" s="241">
        <f t="shared" si="9"/>
        <v>0</v>
      </c>
      <c r="AB72" s="241">
        <f t="shared" si="9"/>
        <v>0</v>
      </c>
      <c r="AC72" s="241">
        <f t="shared" si="9"/>
        <v>0</v>
      </c>
      <c r="AD72" s="241">
        <f t="shared" si="9"/>
        <v>0</v>
      </c>
      <c r="AE72" s="241">
        <f t="shared" si="9"/>
        <v>0</v>
      </c>
      <c r="AF72" s="241">
        <f t="shared" si="9"/>
        <v>0</v>
      </c>
      <c r="AG72" s="261">
        <f>SUM(AG61:AG71)</f>
        <v>0</v>
      </c>
      <c r="AH72" s="226">
        <f t="shared" si="2"/>
        <v>0</v>
      </c>
      <c r="AI72" s="227">
        <f t="shared" si="3"/>
        <v>0</v>
      </c>
      <c r="AK72" s="228"/>
    </row>
    <row r="73" spans="1:88" x14ac:dyDescent="0.25">
      <c r="A73" s="220" t="s">
        <v>81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62">
        <v>39</v>
      </c>
      <c r="AH73" s="226">
        <f t="shared" si="2"/>
        <v>0</v>
      </c>
      <c r="AI73" s="227">
        <f t="shared" si="3"/>
        <v>0</v>
      </c>
      <c r="AK73" s="228"/>
    </row>
    <row r="74" spans="1:88" x14ac:dyDescent="0.25">
      <c r="A74" s="234" t="s">
        <v>82</v>
      </c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5">
        <v>14.4</v>
      </c>
      <c r="AH74" s="226">
        <f t="shared" si="2"/>
        <v>0</v>
      </c>
      <c r="AI74" s="227">
        <f t="shared" si="3"/>
        <v>0</v>
      </c>
      <c r="AK74" s="228"/>
    </row>
    <row r="75" spans="1:88" ht="15.75" thickBot="1" x14ac:dyDescent="0.3">
      <c r="A75" s="258" t="s">
        <v>83</v>
      </c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0">
        <v>2</v>
      </c>
      <c r="AH75" s="226">
        <f t="shared" si="2"/>
        <v>0</v>
      </c>
      <c r="AI75" s="227">
        <f t="shared" si="3"/>
        <v>0</v>
      </c>
    </row>
    <row r="76" spans="1:88" s="175" customFormat="1" ht="15.75" thickBot="1" x14ac:dyDescent="0.3">
      <c r="A76" s="254" t="s">
        <v>84</v>
      </c>
      <c r="B76" s="241">
        <v>0</v>
      </c>
      <c r="C76" s="241">
        <v>0</v>
      </c>
      <c r="D76" s="241">
        <v>0</v>
      </c>
      <c r="E76" s="241">
        <v>0</v>
      </c>
      <c r="F76" s="241">
        <v>0</v>
      </c>
      <c r="G76" s="241">
        <v>0</v>
      </c>
      <c r="H76" s="241">
        <v>0</v>
      </c>
      <c r="I76" s="241">
        <v>0</v>
      </c>
      <c r="J76" s="241">
        <v>0</v>
      </c>
      <c r="K76" s="241">
        <v>0</v>
      </c>
      <c r="L76" s="241">
        <v>0</v>
      </c>
      <c r="M76" s="241">
        <v>0</v>
      </c>
      <c r="N76" s="241">
        <v>0</v>
      </c>
      <c r="O76" s="241">
        <v>0</v>
      </c>
      <c r="P76" s="241">
        <v>0</v>
      </c>
      <c r="Q76" s="241">
        <v>0</v>
      </c>
      <c r="R76" s="241">
        <v>0</v>
      </c>
      <c r="S76" s="241">
        <v>0</v>
      </c>
      <c r="T76" s="241">
        <v>0</v>
      </c>
      <c r="U76" s="241">
        <v>0</v>
      </c>
      <c r="V76" s="241">
        <v>0</v>
      </c>
      <c r="W76" s="241">
        <v>0</v>
      </c>
      <c r="X76" s="241">
        <v>0</v>
      </c>
      <c r="Y76" s="241">
        <v>0</v>
      </c>
      <c r="Z76" s="241">
        <v>0</v>
      </c>
      <c r="AA76" s="241">
        <v>0</v>
      </c>
      <c r="AB76" s="241">
        <v>0</v>
      </c>
      <c r="AC76" s="241">
        <v>0</v>
      </c>
      <c r="AD76" s="241">
        <v>0</v>
      </c>
      <c r="AE76" s="241">
        <v>0</v>
      </c>
      <c r="AF76" s="241">
        <v>0</v>
      </c>
      <c r="AG76" s="261">
        <f>SUM(AG73:AG75)</f>
        <v>55.4</v>
      </c>
      <c r="AH76" s="226">
        <f t="shared" si="2"/>
        <v>0</v>
      </c>
      <c r="AI76" s="227">
        <f t="shared" si="3"/>
        <v>0</v>
      </c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</row>
    <row r="77" spans="1:88" s="175" customFormat="1" ht="15.75" thickBot="1" x14ac:dyDescent="0.3">
      <c r="A77" s="254" t="s">
        <v>85</v>
      </c>
      <c r="B77" s="263">
        <f>B38+B42+B60+B56+B72+B76</f>
        <v>3.54</v>
      </c>
      <c r="C77" s="263">
        <f t="shared" ref="C77:AF77" si="10">C38+C42+C60+C56+C72+C76</f>
        <v>3.54</v>
      </c>
      <c r="D77" s="263">
        <f t="shared" si="10"/>
        <v>3.54</v>
      </c>
      <c r="E77" s="263">
        <f t="shared" si="10"/>
        <v>3.54</v>
      </c>
      <c r="F77" s="263">
        <f t="shared" si="10"/>
        <v>3.54</v>
      </c>
      <c r="G77" s="263">
        <f t="shared" si="10"/>
        <v>3.54</v>
      </c>
      <c r="H77" s="263">
        <f t="shared" si="10"/>
        <v>3.54</v>
      </c>
      <c r="I77" s="263">
        <f t="shared" si="10"/>
        <v>3.54</v>
      </c>
      <c r="J77" s="263">
        <f t="shared" si="10"/>
        <v>3.54</v>
      </c>
      <c r="K77" s="263">
        <f t="shared" si="10"/>
        <v>3.54</v>
      </c>
      <c r="L77" s="263">
        <f t="shared" si="10"/>
        <v>3.54</v>
      </c>
      <c r="M77" s="263">
        <f t="shared" si="10"/>
        <v>3.54</v>
      </c>
      <c r="N77" s="263">
        <f t="shared" si="10"/>
        <v>3.54</v>
      </c>
      <c r="O77" s="263">
        <f t="shared" si="10"/>
        <v>3.54</v>
      </c>
      <c r="P77" s="263">
        <f t="shared" si="10"/>
        <v>3.54</v>
      </c>
      <c r="Q77" s="263">
        <f t="shared" si="10"/>
        <v>3.54</v>
      </c>
      <c r="R77" s="263">
        <f t="shared" si="10"/>
        <v>3.54</v>
      </c>
      <c r="S77" s="263">
        <f t="shared" si="10"/>
        <v>3.54</v>
      </c>
      <c r="T77" s="263">
        <f t="shared" si="10"/>
        <v>3.54</v>
      </c>
      <c r="U77" s="263">
        <f t="shared" si="10"/>
        <v>3.54</v>
      </c>
      <c r="V77" s="263">
        <f t="shared" si="10"/>
        <v>3.54</v>
      </c>
      <c r="W77" s="263">
        <f t="shared" si="10"/>
        <v>3.54</v>
      </c>
      <c r="X77" s="263">
        <f t="shared" si="10"/>
        <v>3.54</v>
      </c>
      <c r="Y77" s="263">
        <f t="shared" si="10"/>
        <v>3.54</v>
      </c>
      <c r="Z77" s="263">
        <f t="shared" si="10"/>
        <v>3.54</v>
      </c>
      <c r="AA77" s="263">
        <f t="shared" si="10"/>
        <v>3.54</v>
      </c>
      <c r="AB77" s="263">
        <f t="shared" si="10"/>
        <v>3.54</v>
      </c>
      <c r="AC77" s="263">
        <f t="shared" si="10"/>
        <v>3.54</v>
      </c>
      <c r="AD77" s="263">
        <f t="shared" si="10"/>
        <v>3.54</v>
      </c>
      <c r="AE77" s="263">
        <f t="shared" si="10"/>
        <v>3.54</v>
      </c>
      <c r="AF77" s="263">
        <f t="shared" si="10"/>
        <v>3.54</v>
      </c>
      <c r="AG77" s="242">
        <f>AG38+AG42+AG60+AG56+AG72+AG76</f>
        <v>1855.1900000000003</v>
      </c>
      <c r="AH77" s="226">
        <f t="shared" si="2"/>
        <v>3.54</v>
      </c>
      <c r="AI77" s="227">
        <f t="shared" si="3"/>
        <v>3.54</v>
      </c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</row>
    <row r="78" spans="1:88" s="175" customFormat="1" ht="15.75" thickBot="1" x14ac:dyDescent="0.3">
      <c r="A78" s="264" t="s">
        <v>86</v>
      </c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1"/>
      <c r="AH78" s="226">
        <f t="shared" si="2"/>
        <v>0</v>
      </c>
      <c r="AI78" s="227">
        <f t="shared" si="3"/>
        <v>0</v>
      </c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</row>
    <row r="79" spans="1:88" s="175" customFormat="1" ht="15.75" thickBot="1" x14ac:dyDescent="0.3">
      <c r="A79" s="254" t="s">
        <v>87</v>
      </c>
      <c r="B79" s="263">
        <f>B77+B78</f>
        <v>3.54</v>
      </c>
      <c r="C79" s="263">
        <f t="shared" ref="C79:AF79" si="11">C77+C78</f>
        <v>3.54</v>
      </c>
      <c r="D79" s="263">
        <f t="shared" si="11"/>
        <v>3.54</v>
      </c>
      <c r="E79" s="263">
        <f t="shared" si="11"/>
        <v>3.54</v>
      </c>
      <c r="F79" s="263">
        <f t="shared" si="11"/>
        <v>3.54</v>
      </c>
      <c r="G79" s="263">
        <f t="shared" si="11"/>
        <v>3.54</v>
      </c>
      <c r="H79" s="263">
        <f t="shared" si="11"/>
        <v>3.54</v>
      </c>
      <c r="I79" s="263">
        <f t="shared" si="11"/>
        <v>3.54</v>
      </c>
      <c r="J79" s="263">
        <f t="shared" si="11"/>
        <v>3.54</v>
      </c>
      <c r="K79" s="263">
        <f t="shared" si="11"/>
        <v>3.54</v>
      </c>
      <c r="L79" s="263">
        <f t="shared" si="11"/>
        <v>3.54</v>
      </c>
      <c r="M79" s="263">
        <f t="shared" si="11"/>
        <v>3.54</v>
      </c>
      <c r="N79" s="263">
        <f t="shared" si="11"/>
        <v>3.54</v>
      </c>
      <c r="O79" s="263">
        <f t="shared" si="11"/>
        <v>3.54</v>
      </c>
      <c r="P79" s="263">
        <f t="shared" si="11"/>
        <v>3.54</v>
      </c>
      <c r="Q79" s="263">
        <f t="shared" si="11"/>
        <v>3.54</v>
      </c>
      <c r="R79" s="263">
        <f t="shared" si="11"/>
        <v>3.54</v>
      </c>
      <c r="S79" s="263">
        <f t="shared" si="11"/>
        <v>3.54</v>
      </c>
      <c r="T79" s="263">
        <f t="shared" si="11"/>
        <v>3.54</v>
      </c>
      <c r="U79" s="263">
        <f t="shared" si="11"/>
        <v>3.54</v>
      </c>
      <c r="V79" s="263">
        <f t="shared" si="11"/>
        <v>3.54</v>
      </c>
      <c r="W79" s="263">
        <f t="shared" si="11"/>
        <v>3.54</v>
      </c>
      <c r="X79" s="263">
        <f t="shared" si="11"/>
        <v>3.54</v>
      </c>
      <c r="Y79" s="263">
        <f t="shared" si="11"/>
        <v>3.54</v>
      </c>
      <c r="Z79" s="263">
        <f t="shared" si="11"/>
        <v>3.54</v>
      </c>
      <c r="AA79" s="263">
        <f t="shared" si="11"/>
        <v>3.54</v>
      </c>
      <c r="AB79" s="263">
        <f t="shared" si="11"/>
        <v>3.54</v>
      </c>
      <c r="AC79" s="263">
        <f t="shared" si="11"/>
        <v>3.54</v>
      </c>
      <c r="AD79" s="263">
        <f t="shared" si="11"/>
        <v>3.54</v>
      </c>
      <c r="AE79" s="263">
        <f t="shared" si="11"/>
        <v>3.54</v>
      </c>
      <c r="AF79" s="263">
        <f t="shared" si="11"/>
        <v>3.54</v>
      </c>
      <c r="AG79" s="261">
        <f>AG76+AG72+AG60+AG56+AG38+AG78</f>
        <v>1317.0900000000001</v>
      </c>
      <c r="AH79" s="226">
        <f t="shared" si="2"/>
        <v>3.54</v>
      </c>
      <c r="AI79" s="227">
        <f t="shared" si="3"/>
        <v>3.54</v>
      </c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</row>
    <row r="80" spans="1:88" s="175" customFormat="1" ht="15.75" thickBot="1" x14ac:dyDescent="0.3">
      <c r="A80" s="254" t="s">
        <v>88</v>
      </c>
      <c r="B80" s="263">
        <f t="shared" ref="B80:AF80" si="12">B79-B87</f>
        <v>3.54</v>
      </c>
      <c r="C80" s="263">
        <f t="shared" si="12"/>
        <v>3.54</v>
      </c>
      <c r="D80" s="263">
        <f t="shared" si="12"/>
        <v>3.54</v>
      </c>
      <c r="E80" s="263">
        <f t="shared" si="12"/>
        <v>3.54</v>
      </c>
      <c r="F80" s="263">
        <f t="shared" si="12"/>
        <v>3.54</v>
      </c>
      <c r="G80" s="263">
        <f t="shared" si="12"/>
        <v>3.54</v>
      </c>
      <c r="H80" s="263">
        <f t="shared" si="12"/>
        <v>3.54</v>
      </c>
      <c r="I80" s="263">
        <f t="shared" si="12"/>
        <v>3.54</v>
      </c>
      <c r="J80" s="263">
        <f t="shared" si="12"/>
        <v>3.54</v>
      </c>
      <c r="K80" s="263">
        <f t="shared" si="12"/>
        <v>3.54</v>
      </c>
      <c r="L80" s="263">
        <f t="shared" si="12"/>
        <v>3.54</v>
      </c>
      <c r="M80" s="263">
        <f t="shared" si="12"/>
        <v>3.54</v>
      </c>
      <c r="N80" s="263">
        <f t="shared" si="12"/>
        <v>3.54</v>
      </c>
      <c r="O80" s="263">
        <f t="shared" si="12"/>
        <v>3.54</v>
      </c>
      <c r="P80" s="263">
        <f t="shared" si="12"/>
        <v>3.54</v>
      </c>
      <c r="Q80" s="263">
        <f t="shared" si="12"/>
        <v>3.54</v>
      </c>
      <c r="R80" s="263">
        <f t="shared" si="12"/>
        <v>3.54</v>
      </c>
      <c r="S80" s="263">
        <f t="shared" si="12"/>
        <v>3.54</v>
      </c>
      <c r="T80" s="263">
        <f t="shared" si="12"/>
        <v>3.54</v>
      </c>
      <c r="U80" s="263">
        <f t="shared" si="12"/>
        <v>3.54</v>
      </c>
      <c r="V80" s="263">
        <f t="shared" si="12"/>
        <v>3.54</v>
      </c>
      <c r="W80" s="263">
        <f t="shared" si="12"/>
        <v>3.54</v>
      </c>
      <c r="X80" s="263">
        <f t="shared" si="12"/>
        <v>3.54</v>
      </c>
      <c r="Y80" s="263">
        <f t="shared" si="12"/>
        <v>3.54</v>
      </c>
      <c r="Z80" s="263">
        <f t="shared" si="12"/>
        <v>3.54</v>
      </c>
      <c r="AA80" s="263">
        <f t="shared" si="12"/>
        <v>3.54</v>
      </c>
      <c r="AB80" s="263">
        <f t="shared" si="12"/>
        <v>3.54</v>
      </c>
      <c r="AC80" s="263">
        <f t="shared" si="12"/>
        <v>3.54</v>
      </c>
      <c r="AD80" s="263">
        <f t="shared" si="12"/>
        <v>3.54</v>
      </c>
      <c r="AE80" s="263">
        <f t="shared" si="12"/>
        <v>3.54</v>
      </c>
      <c r="AF80" s="263">
        <f t="shared" si="12"/>
        <v>3.54</v>
      </c>
      <c r="AG80" s="261"/>
      <c r="AH80" s="226">
        <f t="shared" ref="AH80:AH97" si="13">MAX(B80:AF80)</f>
        <v>3.54</v>
      </c>
      <c r="AI80" s="227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</row>
    <row r="81" spans="1:88" s="175" customFormat="1" x14ac:dyDescent="0.25">
      <c r="A81" s="220" t="s">
        <v>72</v>
      </c>
      <c r="B81" s="256">
        <f>IF(B64&lt;0,B64*-1,0)</f>
        <v>0</v>
      </c>
      <c r="C81" s="256">
        <f t="shared" ref="C81:AF81" si="14">IF(C64&lt;0,C64*-1,0)</f>
        <v>0</v>
      </c>
      <c r="D81" s="256">
        <f t="shared" si="14"/>
        <v>0</v>
      </c>
      <c r="E81" s="256">
        <f t="shared" si="14"/>
        <v>0</v>
      </c>
      <c r="F81" s="256">
        <f t="shared" si="14"/>
        <v>0</v>
      </c>
      <c r="G81" s="256">
        <f t="shared" si="14"/>
        <v>0</v>
      </c>
      <c r="H81" s="256">
        <f t="shared" si="14"/>
        <v>0</v>
      </c>
      <c r="I81" s="256">
        <f t="shared" si="14"/>
        <v>0</v>
      </c>
      <c r="J81" s="256">
        <f t="shared" si="14"/>
        <v>0</v>
      </c>
      <c r="K81" s="256">
        <f t="shared" si="14"/>
        <v>0</v>
      </c>
      <c r="L81" s="256">
        <f t="shared" si="14"/>
        <v>0</v>
      </c>
      <c r="M81" s="256">
        <f t="shared" si="14"/>
        <v>0</v>
      </c>
      <c r="N81" s="256">
        <f t="shared" si="14"/>
        <v>0</v>
      </c>
      <c r="O81" s="256">
        <f t="shared" si="14"/>
        <v>0</v>
      </c>
      <c r="P81" s="256">
        <f t="shared" si="14"/>
        <v>0</v>
      </c>
      <c r="Q81" s="256">
        <f t="shared" si="14"/>
        <v>0</v>
      </c>
      <c r="R81" s="256">
        <f t="shared" si="14"/>
        <v>0</v>
      </c>
      <c r="S81" s="256">
        <f t="shared" si="14"/>
        <v>0</v>
      </c>
      <c r="T81" s="256">
        <f t="shared" si="14"/>
        <v>0</v>
      </c>
      <c r="U81" s="256">
        <f t="shared" si="14"/>
        <v>0</v>
      </c>
      <c r="V81" s="256">
        <f t="shared" si="14"/>
        <v>0</v>
      </c>
      <c r="W81" s="256">
        <f t="shared" si="14"/>
        <v>0</v>
      </c>
      <c r="X81" s="256">
        <f t="shared" si="14"/>
        <v>0</v>
      </c>
      <c r="Y81" s="256">
        <f t="shared" si="14"/>
        <v>0</v>
      </c>
      <c r="Z81" s="256">
        <f t="shared" si="14"/>
        <v>0</v>
      </c>
      <c r="AA81" s="256">
        <f t="shared" si="14"/>
        <v>0</v>
      </c>
      <c r="AB81" s="256">
        <f t="shared" si="14"/>
        <v>0</v>
      </c>
      <c r="AC81" s="256">
        <f t="shared" si="14"/>
        <v>0</v>
      </c>
      <c r="AD81" s="256">
        <f t="shared" si="14"/>
        <v>0</v>
      </c>
      <c r="AE81" s="256">
        <f t="shared" si="14"/>
        <v>0</v>
      </c>
      <c r="AF81" s="256">
        <f t="shared" si="14"/>
        <v>0</v>
      </c>
      <c r="AG81" s="230"/>
      <c r="AH81" s="226">
        <f t="shared" si="13"/>
        <v>0</v>
      </c>
      <c r="AI81" s="227">
        <f t="shared" ref="AI81:AI97" si="15">MIN(B81:AF81)</f>
        <v>0</v>
      </c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</row>
    <row r="82" spans="1:88" s="175" customFormat="1" x14ac:dyDescent="0.25">
      <c r="A82" s="234" t="s">
        <v>70</v>
      </c>
      <c r="B82" s="256">
        <f>IF(B62&lt;0,B62*-1,0)</f>
        <v>0</v>
      </c>
      <c r="C82" s="256">
        <f t="shared" ref="C82:AF82" si="16">IF(C62&lt;0,C62*-1,0)</f>
        <v>0</v>
      </c>
      <c r="D82" s="256">
        <f t="shared" si="16"/>
        <v>0</v>
      </c>
      <c r="E82" s="256">
        <f t="shared" si="16"/>
        <v>0</v>
      </c>
      <c r="F82" s="256">
        <f t="shared" si="16"/>
        <v>0</v>
      </c>
      <c r="G82" s="256">
        <f t="shared" si="16"/>
        <v>0</v>
      </c>
      <c r="H82" s="256">
        <f t="shared" si="16"/>
        <v>0</v>
      </c>
      <c r="I82" s="256">
        <f t="shared" si="16"/>
        <v>0</v>
      </c>
      <c r="J82" s="256">
        <f t="shared" si="16"/>
        <v>0</v>
      </c>
      <c r="K82" s="256">
        <f t="shared" si="16"/>
        <v>0</v>
      </c>
      <c r="L82" s="256">
        <f t="shared" si="16"/>
        <v>0</v>
      </c>
      <c r="M82" s="256">
        <f t="shared" si="16"/>
        <v>0</v>
      </c>
      <c r="N82" s="256">
        <f t="shared" si="16"/>
        <v>0</v>
      </c>
      <c r="O82" s="256">
        <f t="shared" si="16"/>
        <v>0</v>
      </c>
      <c r="P82" s="256">
        <f t="shared" si="16"/>
        <v>0</v>
      </c>
      <c r="Q82" s="256">
        <f t="shared" si="16"/>
        <v>0</v>
      </c>
      <c r="R82" s="256">
        <f t="shared" si="16"/>
        <v>0</v>
      </c>
      <c r="S82" s="256">
        <f t="shared" si="16"/>
        <v>0</v>
      </c>
      <c r="T82" s="256">
        <f t="shared" si="16"/>
        <v>0</v>
      </c>
      <c r="U82" s="256">
        <f t="shared" si="16"/>
        <v>0</v>
      </c>
      <c r="V82" s="256">
        <f t="shared" si="16"/>
        <v>0</v>
      </c>
      <c r="W82" s="256">
        <f t="shared" si="16"/>
        <v>0</v>
      </c>
      <c r="X82" s="256">
        <f t="shared" si="16"/>
        <v>0</v>
      </c>
      <c r="Y82" s="256">
        <f t="shared" si="16"/>
        <v>0</v>
      </c>
      <c r="Z82" s="256">
        <f t="shared" si="16"/>
        <v>0</v>
      </c>
      <c r="AA82" s="256">
        <f t="shared" si="16"/>
        <v>0</v>
      </c>
      <c r="AB82" s="256">
        <f t="shared" si="16"/>
        <v>0</v>
      </c>
      <c r="AC82" s="256">
        <f t="shared" si="16"/>
        <v>0</v>
      </c>
      <c r="AD82" s="256">
        <f t="shared" si="16"/>
        <v>0</v>
      </c>
      <c r="AE82" s="256">
        <f t="shared" si="16"/>
        <v>0</v>
      </c>
      <c r="AF82" s="256">
        <f t="shared" si="16"/>
        <v>0</v>
      </c>
      <c r="AG82" s="235"/>
      <c r="AH82" s="226">
        <f t="shared" si="13"/>
        <v>0</v>
      </c>
      <c r="AI82" s="227">
        <f t="shared" si="15"/>
        <v>0</v>
      </c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</row>
    <row r="83" spans="1:88" s="175" customFormat="1" x14ac:dyDescent="0.25">
      <c r="A83" s="258" t="s">
        <v>89</v>
      </c>
      <c r="B83" s="256">
        <f>IF(B65&lt;0,B65*-1,0)</f>
        <v>0</v>
      </c>
      <c r="C83" s="256">
        <f t="shared" ref="C83:AF83" si="17">IF(C65&lt;0,C65*-1,0)</f>
        <v>0</v>
      </c>
      <c r="D83" s="256">
        <f t="shared" si="17"/>
        <v>0</v>
      </c>
      <c r="E83" s="256">
        <f t="shared" si="17"/>
        <v>0</v>
      </c>
      <c r="F83" s="256">
        <f t="shared" si="17"/>
        <v>0</v>
      </c>
      <c r="G83" s="256">
        <f t="shared" si="17"/>
        <v>0</v>
      </c>
      <c r="H83" s="256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6">
        <f t="shared" si="17"/>
        <v>0</v>
      </c>
      <c r="Q83" s="256">
        <f t="shared" si="17"/>
        <v>0</v>
      </c>
      <c r="R83" s="256">
        <f t="shared" si="17"/>
        <v>0</v>
      </c>
      <c r="S83" s="256">
        <f t="shared" si="17"/>
        <v>0</v>
      </c>
      <c r="T83" s="256">
        <f t="shared" si="17"/>
        <v>0</v>
      </c>
      <c r="U83" s="256">
        <f t="shared" si="17"/>
        <v>0</v>
      </c>
      <c r="V83" s="256">
        <f t="shared" si="17"/>
        <v>0</v>
      </c>
      <c r="W83" s="256">
        <f t="shared" si="17"/>
        <v>0</v>
      </c>
      <c r="X83" s="256">
        <f t="shared" si="17"/>
        <v>0</v>
      </c>
      <c r="Y83" s="256">
        <f t="shared" si="17"/>
        <v>0</v>
      </c>
      <c r="Z83" s="256">
        <f t="shared" si="17"/>
        <v>0</v>
      </c>
      <c r="AA83" s="256">
        <f t="shared" si="17"/>
        <v>0</v>
      </c>
      <c r="AB83" s="256">
        <f t="shared" si="17"/>
        <v>0</v>
      </c>
      <c r="AC83" s="256">
        <f t="shared" si="17"/>
        <v>0</v>
      </c>
      <c r="AD83" s="256">
        <f t="shared" si="17"/>
        <v>0</v>
      </c>
      <c r="AE83" s="256">
        <f t="shared" si="17"/>
        <v>0</v>
      </c>
      <c r="AF83" s="256">
        <f t="shared" si="17"/>
        <v>0</v>
      </c>
      <c r="AG83" s="266"/>
      <c r="AH83" s="226">
        <f t="shared" si="13"/>
        <v>0</v>
      </c>
      <c r="AI83" s="227">
        <f t="shared" si="15"/>
        <v>0</v>
      </c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</row>
    <row r="84" spans="1:88" s="175" customFormat="1" x14ac:dyDescent="0.25">
      <c r="A84" s="258" t="s">
        <v>90</v>
      </c>
      <c r="B84" s="256">
        <f>IF(B63&lt;0,B63*-1,0)</f>
        <v>0</v>
      </c>
      <c r="C84" s="256">
        <f t="shared" ref="C84:AF84" si="18">IF(C63&lt;0,C63*-1,0)</f>
        <v>0</v>
      </c>
      <c r="D84" s="256">
        <f t="shared" si="18"/>
        <v>0</v>
      </c>
      <c r="E84" s="256">
        <f t="shared" si="18"/>
        <v>0</v>
      </c>
      <c r="F84" s="256">
        <f t="shared" si="18"/>
        <v>0</v>
      </c>
      <c r="G84" s="256">
        <f t="shared" si="18"/>
        <v>0</v>
      </c>
      <c r="H84" s="256">
        <f t="shared" si="18"/>
        <v>0</v>
      </c>
      <c r="I84" s="256">
        <f t="shared" si="18"/>
        <v>0</v>
      </c>
      <c r="J84" s="256">
        <f t="shared" si="18"/>
        <v>0</v>
      </c>
      <c r="K84" s="256">
        <f t="shared" si="18"/>
        <v>0</v>
      </c>
      <c r="L84" s="256">
        <f t="shared" si="18"/>
        <v>0</v>
      </c>
      <c r="M84" s="256">
        <f t="shared" si="18"/>
        <v>0</v>
      </c>
      <c r="N84" s="256">
        <f t="shared" si="18"/>
        <v>0</v>
      </c>
      <c r="O84" s="256">
        <f t="shared" si="18"/>
        <v>0</v>
      </c>
      <c r="P84" s="256">
        <f t="shared" si="18"/>
        <v>0</v>
      </c>
      <c r="Q84" s="256">
        <f t="shared" si="18"/>
        <v>0</v>
      </c>
      <c r="R84" s="256">
        <f t="shared" si="18"/>
        <v>0</v>
      </c>
      <c r="S84" s="256">
        <f t="shared" si="18"/>
        <v>0</v>
      </c>
      <c r="T84" s="256">
        <f t="shared" si="18"/>
        <v>0</v>
      </c>
      <c r="U84" s="256">
        <f t="shared" si="18"/>
        <v>0</v>
      </c>
      <c r="V84" s="256">
        <f t="shared" si="18"/>
        <v>0</v>
      </c>
      <c r="W84" s="256">
        <f t="shared" si="18"/>
        <v>0</v>
      </c>
      <c r="X84" s="256">
        <f t="shared" si="18"/>
        <v>0</v>
      </c>
      <c r="Y84" s="256">
        <f t="shared" si="18"/>
        <v>0</v>
      </c>
      <c r="Z84" s="256">
        <f t="shared" si="18"/>
        <v>0</v>
      </c>
      <c r="AA84" s="256">
        <f t="shared" si="18"/>
        <v>0</v>
      </c>
      <c r="AB84" s="256">
        <f t="shared" si="18"/>
        <v>0</v>
      </c>
      <c r="AC84" s="256">
        <f t="shared" si="18"/>
        <v>0</v>
      </c>
      <c r="AD84" s="256">
        <f t="shared" si="18"/>
        <v>0</v>
      </c>
      <c r="AE84" s="256">
        <f t="shared" si="18"/>
        <v>0</v>
      </c>
      <c r="AF84" s="256">
        <f t="shared" si="18"/>
        <v>0</v>
      </c>
      <c r="AG84" s="266"/>
      <c r="AH84" s="226">
        <f t="shared" si="13"/>
        <v>0</v>
      </c>
      <c r="AI84" s="227">
        <f t="shared" si="15"/>
        <v>0</v>
      </c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</row>
    <row r="85" spans="1:88" s="175" customFormat="1" x14ac:dyDescent="0.25">
      <c r="A85" s="258" t="s">
        <v>69</v>
      </c>
      <c r="B85" s="256">
        <f>IF(B61&lt;0,B61*-1,0)</f>
        <v>0</v>
      </c>
      <c r="C85" s="256">
        <f t="shared" ref="C85:AF85" si="19">IF(C61&lt;0,C61*-1,0)</f>
        <v>0</v>
      </c>
      <c r="D85" s="256">
        <f t="shared" si="19"/>
        <v>0</v>
      </c>
      <c r="E85" s="256">
        <f t="shared" si="19"/>
        <v>0</v>
      </c>
      <c r="F85" s="256">
        <f t="shared" si="19"/>
        <v>0</v>
      </c>
      <c r="G85" s="256">
        <f t="shared" si="19"/>
        <v>0</v>
      </c>
      <c r="H85" s="256">
        <f t="shared" si="19"/>
        <v>0</v>
      </c>
      <c r="I85" s="256">
        <f t="shared" si="19"/>
        <v>0</v>
      </c>
      <c r="J85" s="256">
        <f t="shared" si="19"/>
        <v>0</v>
      </c>
      <c r="K85" s="256">
        <f t="shared" si="19"/>
        <v>0</v>
      </c>
      <c r="L85" s="256">
        <f t="shared" si="19"/>
        <v>0</v>
      </c>
      <c r="M85" s="256">
        <f t="shared" si="19"/>
        <v>0</v>
      </c>
      <c r="N85" s="256">
        <f t="shared" si="19"/>
        <v>0</v>
      </c>
      <c r="O85" s="256">
        <f t="shared" si="19"/>
        <v>0</v>
      </c>
      <c r="P85" s="256">
        <f t="shared" si="19"/>
        <v>0</v>
      </c>
      <c r="Q85" s="256">
        <f t="shared" si="19"/>
        <v>0</v>
      </c>
      <c r="R85" s="256">
        <f t="shared" si="19"/>
        <v>0</v>
      </c>
      <c r="S85" s="256">
        <f t="shared" si="19"/>
        <v>0</v>
      </c>
      <c r="T85" s="256">
        <f t="shared" si="19"/>
        <v>0</v>
      </c>
      <c r="U85" s="256">
        <f t="shared" si="19"/>
        <v>0</v>
      </c>
      <c r="V85" s="256">
        <f t="shared" si="19"/>
        <v>0</v>
      </c>
      <c r="W85" s="256">
        <f t="shared" si="19"/>
        <v>0</v>
      </c>
      <c r="X85" s="256">
        <f t="shared" si="19"/>
        <v>0</v>
      </c>
      <c r="Y85" s="256">
        <f t="shared" si="19"/>
        <v>0</v>
      </c>
      <c r="Z85" s="256">
        <f t="shared" si="19"/>
        <v>0</v>
      </c>
      <c r="AA85" s="256">
        <f t="shared" si="19"/>
        <v>0</v>
      </c>
      <c r="AB85" s="256">
        <f t="shared" si="19"/>
        <v>0</v>
      </c>
      <c r="AC85" s="256">
        <f t="shared" si="19"/>
        <v>0</v>
      </c>
      <c r="AD85" s="256">
        <f t="shared" si="19"/>
        <v>0</v>
      </c>
      <c r="AE85" s="256">
        <f t="shared" si="19"/>
        <v>0</v>
      </c>
      <c r="AF85" s="256">
        <f t="shared" si="19"/>
        <v>0</v>
      </c>
      <c r="AG85" s="266"/>
      <c r="AH85" s="226">
        <f t="shared" si="13"/>
        <v>0</v>
      </c>
      <c r="AI85" s="227">
        <f t="shared" si="15"/>
        <v>0</v>
      </c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</row>
    <row r="86" spans="1:88" s="175" customFormat="1" ht="15.75" thickBot="1" x14ac:dyDescent="0.3">
      <c r="A86" s="258" t="s">
        <v>91</v>
      </c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>
        <v>0</v>
      </c>
      <c r="AA86" s="259">
        <v>0</v>
      </c>
      <c r="AB86" s="259">
        <v>0</v>
      </c>
      <c r="AC86" s="259"/>
      <c r="AD86" s="259"/>
      <c r="AE86" s="259"/>
      <c r="AF86" s="259"/>
      <c r="AG86" s="260"/>
      <c r="AH86" s="226">
        <f t="shared" si="13"/>
        <v>0</v>
      </c>
      <c r="AI86" s="227">
        <f t="shared" si="15"/>
        <v>0</v>
      </c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</row>
    <row r="87" spans="1:88" ht="15.75" thickBot="1" x14ac:dyDescent="0.3">
      <c r="A87" s="267" t="s">
        <v>92</v>
      </c>
      <c r="B87" s="241">
        <f>SUM(B81:B86)</f>
        <v>0</v>
      </c>
      <c r="C87" s="241">
        <f t="shared" ref="C87:AF87" si="20">SUM(C81:C86)</f>
        <v>0</v>
      </c>
      <c r="D87" s="241">
        <f t="shared" si="20"/>
        <v>0</v>
      </c>
      <c r="E87" s="241">
        <f t="shared" si="20"/>
        <v>0</v>
      </c>
      <c r="F87" s="241">
        <f t="shared" si="20"/>
        <v>0</v>
      </c>
      <c r="G87" s="241">
        <f t="shared" si="20"/>
        <v>0</v>
      </c>
      <c r="H87" s="241">
        <f t="shared" si="20"/>
        <v>0</v>
      </c>
      <c r="I87" s="241">
        <f t="shared" si="20"/>
        <v>0</v>
      </c>
      <c r="J87" s="241">
        <f t="shared" si="20"/>
        <v>0</v>
      </c>
      <c r="K87" s="241">
        <f t="shared" si="20"/>
        <v>0</v>
      </c>
      <c r="L87" s="241">
        <f t="shared" si="20"/>
        <v>0</v>
      </c>
      <c r="M87" s="241">
        <f t="shared" si="20"/>
        <v>0</v>
      </c>
      <c r="N87" s="241">
        <f t="shared" si="20"/>
        <v>0</v>
      </c>
      <c r="O87" s="241">
        <f t="shared" si="20"/>
        <v>0</v>
      </c>
      <c r="P87" s="241">
        <f t="shared" si="20"/>
        <v>0</v>
      </c>
      <c r="Q87" s="241">
        <f t="shared" si="20"/>
        <v>0</v>
      </c>
      <c r="R87" s="241">
        <f t="shared" si="20"/>
        <v>0</v>
      </c>
      <c r="S87" s="241">
        <f t="shared" si="20"/>
        <v>0</v>
      </c>
      <c r="T87" s="241">
        <f t="shared" si="20"/>
        <v>0</v>
      </c>
      <c r="U87" s="241">
        <f t="shared" si="20"/>
        <v>0</v>
      </c>
      <c r="V87" s="241">
        <f t="shared" si="20"/>
        <v>0</v>
      </c>
      <c r="W87" s="241">
        <f t="shared" si="20"/>
        <v>0</v>
      </c>
      <c r="X87" s="241">
        <f t="shared" si="20"/>
        <v>0</v>
      </c>
      <c r="Y87" s="241">
        <f t="shared" si="20"/>
        <v>0</v>
      </c>
      <c r="Z87" s="241">
        <f t="shared" si="20"/>
        <v>0</v>
      </c>
      <c r="AA87" s="241">
        <f t="shared" si="20"/>
        <v>0</v>
      </c>
      <c r="AB87" s="241">
        <f t="shared" si="20"/>
        <v>0</v>
      </c>
      <c r="AC87" s="241">
        <f t="shared" si="20"/>
        <v>0</v>
      </c>
      <c r="AD87" s="241">
        <f t="shared" si="20"/>
        <v>0</v>
      </c>
      <c r="AE87" s="241">
        <f t="shared" si="20"/>
        <v>0</v>
      </c>
      <c r="AF87" s="241">
        <f t="shared" si="20"/>
        <v>0</v>
      </c>
      <c r="AG87" s="261"/>
      <c r="AH87" s="226">
        <f t="shared" si="13"/>
        <v>0</v>
      </c>
      <c r="AI87" s="227">
        <f t="shared" si="15"/>
        <v>0</v>
      </c>
      <c r="AK87" s="228"/>
    </row>
    <row r="88" spans="1:88" s="175" customFormat="1" ht="15.75" thickBot="1" x14ac:dyDescent="0.3">
      <c r="A88" s="254" t="s">
        <v>93</v>
      </c>
      <c r="B88" s="241">
        <f>B72-B87</f>
        <v>0</v>
      </c>
      <c r="C88" s="241">
        <f t="shared" ref="C88:AF88" si="21">C72-C87</f>
        <v>0</v>
      </c>
      <c r="D88" s="241">
        <f t="shared" si="21"/>
        <v>0</v>
      </c>
      <c r="E88" s="241">
        <f t="shared" si="21"/>
        <v>0</v>
      </c>
      <c r="F88" s="241">
        <f t="shared" si="21"/>
        <v>0</v>
      </c>
      <c r="G88" s="241">
        <f t="shared" si="21"/>
        <v>0</v>
      </c>
      <c r="H88" s="241">
        <f t="shared" si="21"/>
        <v>0</v>
      </c>
      <c r="I88" s="241">
        <f t="shared" si="21"/>
        <v>0</v>
      </c>
      <c r="J88" s="241">
        <f t="shared" si="21"/>
        <v>0</v>
      </c>
      <c r="K88" s="241">
        <f t="shared" si="21"/>
        <v>0</v>
      </c>
      <c r="L88" s="241">
        <f t="shared" si="21"/>
        <v>0</v>
      </c>
      <c r="M88" s="241">
        <f t="shared" si="21"/>
        <v>0</v>
      </c>
      <c r="N88" s="241">
        <f t="shared" si="21"/>
        <v>0</v>
      </c>
      <c r="O88" s="241">
        <f t="shared" si="21"/>
        <v>0</v>
      </c>
      <c r="P88" s="241">
        <f t="shared" si="21"/>
        <v>0</v>
      </c>
      <c r="Q88" s="241">
        <f t="shared" si="21"/>
        <v>0</v>
      </c>
      <c r="R88" s="241">
        <f t="shared" si="21"/>
        <v>0</v>
      </c>
      <c r="S88" s="241">
        <f t="shared" si="21"/>
        <v>0</v>
      </c>
      <c r="T88" s="241">
        <f t="shared" si="21"/>
        <v>0</v>
      </c>
      <c r="U88" s="241">
        <f t="shared" si="21"/>
        <v>0</v>
      </c>
      <c r="V88" s="241">
        <f t="shared" si="21"/>
        <v>0</v>
      </c>
      <c r="W88" s="241">
        <f t="shared" si="21"/>
        <v>0</v>
      </c>
      <c r="X88" s="241">
        <f t="shared" si="21"/>
        <v>0</v>
      </c>
      <c r="Y88" s="241">
        <f t="shared" si="21"/>
        <v>0</v>
      </c>
      <c r="Z88" s="241">
        <f t="shared" si="21"/>
        <v>0</v>
      </c>
      <c r="AA88" s="241">
        <f t="shared" si="21"/>
        <v>0</v>
      </c>
      <c r="AB88" s="241">
        <f t="shared" si="21"/>
        <v>0</v>
      </c>
      <c r="AC88" s="241">
        <f t="shared" si="21"/>
        <v>0</v>
      </c>
      <c r="AD88" s="241">
        <f t="shared" si="21"/>
        <v>0</v>
      </c>
      <c r="AE88" s="241">
        <f t="shared" si="21"/>
        <v>0</v>
      </c>
      <c r="AF88" s="241">
        <f t="shared" si="21"/>
        <v>0</v>
      </c>
      <c r="AG88" s="261"/>
      <c r="AH88" s="226">
        <f t="shared" si="13"/>
        <v>0</v>
      </c>
      <c r="AI88" s="227">
        <f t="shared" si="15"/>
        <v>0</v>
      </c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</row>
    <row r="89" spans="1:88" s="175" customFormat="1" x14ac:dyDescent="0.25">
      <c r="A89" s="268" t="s">
        <v>94</v>
      </c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70"/>
      <c r="AH89" s="226">
        <f t="shared" si="13"/>
        <v>0</v>
      </c>
      <c r="AI89" s="227">
        <f t="shared" si="15"/>
        <v>0</v>
      </c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</row>
    <row r="90" spans="1:88" s="175" customFormat="1" x14ac:dyDescent="0.25">
      <c r="A90" s="271" t="s">
        <v>95</v>
      </c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72"/>
      <c r="AH90" s="226">
        <f t="shared" si="13"/>
        <v>0</v>
      </c>
      <c r="AI90" s="227">
        <f t="shared" si="15"/>
        <v>0</v>
      </c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</row>
    <row r="91" spans="1:88" s="175" customFormat="1" x14ac:dyDescent="0.25">
      <c r="A91" s="271" t="s">
        <v>96</v>
      </c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72"/>
      <c r="AH91" s="226">
        <f t="shared" si="13"/>
        <v>0</v>
      </c>
      <c r="AI91" s="227">
        <f t="shared" si="15"/>
        <v>0</v>
      </c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</row>
    <row r="92" spans="1:88" s="175" customFormat="1" x14ac:dyDescent="0.25">
      <c r="A92" s="271" t="s">
        <v>97</v>
      </c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72"/>
      <c r="AH92" s="226">
        <f t="shared" si="13"/>
        <v>0</v>
      </c>
      <c r="AI92" s="227">
        <f t="shared" si="15"/>
        <v>0</v>
      </c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</row>
    <row r="93" spans="1:88" s="175" customFormat="1" x14ac:dyDescent="0.25">
      <c r="A93" s="273" t="s">
        <v>98</v>
      </c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72"/>
      <c r="AH93" s="226">
        <f t="shared" si="13"/>
        <v>0</v>
      </c>
      <c r="AI93" s="227">
        <f t="shared" si="15"/>
        <v>0</v>
      </c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</row>
    <row r="94" spans="1:88" s="175" customFormat="1" x14ac:dyDescent="0.25">
      <c r="A94" s="273" t="s">
        <v>99</v>
      </c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  <c r="AF94" s="274"/>
      <c r="AG94" s="275"/>
      <c r="AH94" s="226">
        <f t="shared" si="13"/>
        <v>0</v>
      </c>
      <c r="AI94" s="227">
        <f t="shared" si="15"/>
        <v>0</v>
      </c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</row>
    <row r="95" spans="1:88" s="175" customFormat="1" x14ac:dyDescent="0.25">
      <c r="A95" s="271" t="s">
        <v>100</v>
      </c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72"/>
      <c r="AH95" s="226">
        <f t="shared" si="13"/>
        <v>0</v>
      </c>
      <c r="AI95" s="227">
        <f t="shared" si="15"/>
        <v>0</v>
      </c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</row>
    <row r="96" spans="1:88" ht="15.75" thickBot="1" x14ac:dyDescent="0.3">
      <c r="A96" s="271" t="s">
        <v>101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  <c r="AE96" s="276"/>
      <c r="AF96" s="276"/>
      <c r="AG96" s="277"/>
      <c r="AH96" s="226">
        <f t="shared" si="13"/>
        <v>0</v>
      </c>
      <c r="AI96" s="227">
        <f t="shared" si="15"/>
        <v>0</v>
      </c>
    </row>
    <row r="97" spans="1:37" ht="15.75" thickBot="1" x14ac:dyDescent="0.3">
      <c r="A97" s="278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7"/>
      <c r="AH97" s="226">
        <f t="shared" si="13"/>
        <v>0</v>
      </c>
      <c r="AI97" s="227">
        <f t="shared" si="15"/>
        <v>0</v>
      </c>
    </row>
    <row r="98" spans="1:37" ht="15.75" thickBot="1" x14ac:dyDescent="0.3">
      <c r="A98" s="279" t="s">
        <v>102</v>
      </c>
      <c r="B98" s="280">
        <f t="shared" ref="B98:AF98" si="22">SUM(B15,B18,B21:B22,B46,B48:B49,B51,B53,B99:B103,B125,B131,B137,B146,B148,B160,B167,B170:B171,B178,B180,B182,B186:B188,B190:B192,B197,B203:B204,B206:B208,B216,B221)</f>
        <v>0</v>
      </c>
      <c r="C98" s="280">
        <f t="shared" si="22"/>
        <v>0.94</v>
      </c>
      <c r="D98" s="280">
        <f t="shared" si="22"/>
        <v>0.94</v>
      </c>
      <c r="E98" s="280">
        <f t="shared" si="22"/>
        <v>0.94</v>
      </c>
      <c r="F98" s="280">
        <f t="shared" si="22"/>
        <v>0.94</v>
      </c>
      <c r="G98" s="280">
        <f t="shared" si="22"/>
        <v>0.94</v>
      </c>
      <c r="H98" s="280">
        <f t="shared" si="22"/>
        <v>0.94</v>
      </c>
      <c r="I98" s="280">
        <f t="shared" si="22"/>
        <v>0.94</v>
      </c>
      <c r="J98" s="280">
        <f t="shared" si="22"/>
        <v>0.94</v>
      </c>
      <c r="K98" s="280">
        <f t="shared" si="22"/>
        <v>0.94</v>
      </c>
      <c r="L98" s="280">
        <f t="shared" si="22"/>
        <v>0.94</v>
      </c>
      <c r="M98" s="280">
        <f t="shared" si="22"/>
        <v>0.94</v>
      </c>
      <c r="N98" s="280">
        <f t="shared" si="22"/>
        <v>0.94</v>
      </c>
      <c r="O98" s="280">
        <f t="shared" si="22"/>
        <v>0.94</v>
      </c>
      <c r="P98" s="280">
        <f t="shared" si="22"/>
        <v>0.94</v>
      </c>
      <c r="Q98" s="280">
        <f t="shared" si="22"/>
        <v>0</v>
      </c>
      <c r="R98" s="280">
        <f t="shared" si="22"/>
        <v>0</v>
      </c>
      <c r="S98" s="280">
        <f t="shared" si="22"/>
        <v>0</v>
      </c>
      <c r="T98" s="280">
        <f t="shared" si="22"/>
        <v>0</v>
      </c>
      <c r="U98" s="280">
        <f t="shared" si="22"/>
        <v>0</v>
      </c>
      <c r="V98" s="280">
        <f t="shared" si="22"/>
        <v>0</v>
      </c>
      <c r="W98" s="280">
        <f t="shared" si="22"/>
        <v>0</v>
      </c>
      <c r="X98" s="280">
        <f t="shared" si="22"/>
        <v>0</v>
      </c>
      <c r="Y98" s="280">
        <f t="shared" si="22"/>
        <v>0</v>
      </c>
      <c r="Z98" s="280">
        <f t="shared" si="22"/>
        <v>0</v>
      </c>
      <c r="AA98" s="280">
        <f t="shared" si="22"/>
        <v>0</v>
      </c>
      <c r="AB98" s="280">
        <f t="shared" si="22"/>
        <v>0</v>
      </c>
      <c r="AC98" s="280">
        <f t="shared" si="22"/>
        <v>0</v>
      </c>
      <c r="AD98" s="280">
        <f t="shared" si="22"/>
        <v>0</v>
      </c>
      <c r="AE98" s="280">
        <f t="shared" si="22"/>
        <v>0</v>
      </c>
      <c r="AF98" s="280">
        <f t="shared" si="22"/>
        <v>0</v>
      </c>
      <c r="AG98" s="281"/>
      <c r="AH98" s="226">
        <f>MAX(C98:AF98)</f>
        <v>0.94</v>
      </c>
      <c r="AI98" s="227">
        <f>MIN(C98:AF98)</f>
        <v>0</v>
      </c>
    </row>
    <row r="99" spans="1:37" x14ac:dyDescent="0.25">
      <c r="A99" s="268" t="s">
        <v>103</v>
      </c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3">
        <v>75</v>
      </c>
      <c r="AH99" s="226">
        <f t="shared" ref="AH99:AH107" si="23">IF(ABS(MAX(C99:AF99))&gt;ABS(MIN(C99:AF99)),MAX(C99:AF99),MIN(C99:AF99))</f>
        <v>0</v>
      </c>
      <c r="AI99" s="284" t="e">
        <f t="shared" ref="AI99:AI107" si="24">INDEX($C$9:$AF$9,1,MATCH(AH99,C99:AF99,0))</f>
        <v>#N/A</v>
      </c>
    </row>
    <row r="100" spans="1:37" x14ac:dyDescent="0.25">
      <c r="A100" s="271" t="s">
        <v>269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85"/>
      <c r="AG100" s="283">
        <v>240</v>
      </c>
      <c r="AH100" s="226">
        <f t="shared" si="23"/>
        <v>0</v>
      </c>
      <c r="AI100" s="284" t="e">
        <f t="shared" si="24"/>
        <v>#N/A</v>
      </c>
    </row>
    <row r="101" spans="1:37" x14ac:dyDescent="0.25">
      <c r="A101" s="271" t="s">
        <v>104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3">
        <v>240</v>
      </c>
      <c r="AH101" s="226">
        <f t="shared" si="23"/>
        <v>0</v>
      </c>
      <c r="AI101" s="284" t="e">
        <f t="shared" si="24"/>
        <v>#N/A</v>
      </c>
    </row>
    <row r="102" spans="1:37" x14ac:dyDescent="0.25">
      <c r="A102" s="271" t="s">
        <v>105</v>
      </c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5"/>
      <c r="AE102" s="285"/>
      <c r="AF102" s="285"/>
      <c r="AG102" s="283">
        <v>60</v>
      </c>
      <c r="AH102" s="226">
        <f t="shared" si="23"/>
        <v>0</v>
      </c>
      <c r="AI102" s="284" t="e">
        <f t="shared" si="24"/>
        <v>#N/A</v>
      </c>
    </row>
    <row r="103" spans="1:37" x14ac:dyDescent="0.25">
      <c r="A103" s="286" t="s">
        <v>106</v>
      </c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8">
        <v>120</v>
      </c>
      <c r="AH103" s="226">
        <f t="shared" si="23"/>
        <v>0</v>
      </c>
      <c r="AI103" s="284" t="e">
        <f t="shared" si="24"/>
        <v>#N/A</v>
      </c>
    </row>
    <row r="104" spans="1:37" x14ac:dyDescent="0.25">
      <c r="A104" s="286" t="s">
        <v>107</v>
      </c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8"/>
      <c r="AH104" s="226">
        <f t="shared" si="23"/>
        <v>0</v>
      </c>
      <c r="AI104" s="284" t="e">
        <f t="shared" si="24"/>
        <v>#N/A</v>
      </c>
    </row>
    <row r="105" spans="1:37" x14ac:dyDescent="0.25">
      <c r="A105" s="286" t="s">
        <v>108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9"/>
      <c r="AH105" s="226">
        <f t="shared" si="23"/>
        <v>0</v>
      </c>
      <c r="AI105" s="284" t="e">
        <f t="shared" si="24"/>
        <v>#N/A</v>
      </c>
    </row>
    <row r="106" spans="1:37" x14ac:dyDescent="0.25">
      <c r="A106" s="290" t="s">
        <v>109</v>
      </c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89"/>
      <c r="AH106" s="226">
        <f t="shared" si="23"/>
        <v>0</v>
      </c>
      <c r="AI106" s="284" t="e">
        <f t="shared" si="24"/>
        <v>#N/A</v>
      </c>
    </row>
    <row r="107" spans="1:37" ht="15.75" thickBot="1" x14ac:dyDescent="0.3">
      <c r="A107" s="290" t="s">
        <v>110</v>
      </c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  <c r="AE107" s="274"/>
      <c r="AF107" s="274"/>
      <c r="AG107" s="289"/>
      <c r="AH107" s="226">
        <f t="shared" si="23"/>
        <v>0</v>
      </c>
      <c r="AI107" s="284" t="e">
        <f t="shared" si="24"/>
        <v>#N/A</v>
      </c>
    </row>
    <row r="108" spans="1:37" ht="15.75" thickBot="1" x14ac:dyDescent="0.3">
      <c r="A108" s="291" t="s">
        <v>111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3"/>
      <c r="AH108" s="294"/>
      <c r="AI108" s="227"/>
      <c r="AK108" s="228"/>
    </row>
    <row r="109" spans="1:37" x14ac:dyDescent="0.25">
      <c r="A109" s="295" t="s">
        <v>112</v>
      </c>
      <c r="B109" s="296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296"/>
      <c r="AG109" s="298">
        <v>9.94</v>
      </c>
      <c r="AH109" s="226"/>
      <c r="AI109" s="227"/>
      <c r="AK109" s="228"/>
    </row>
    <row r="110" spans="1:37" x14ac:dyDescent="0.25">
      <c r="A110" s="271" t="s">
        <v>113</v>
      </c>
      <c r="B110" s="296"/>
      <c r="C110" s="297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8"/>
      <c r="AH110" s="226"/>
      <c r="AI110" s="227"/>
      <c r="AK110" s="228"/>
    </row>
    <row r="111" spans="1:37" x14ac:dyDescent="0.25">
      <c r="A111" s="271" t="s">
        <v>114</v>
      </c>
      <c r="B111" s="296"/>
      <c r="C111" s="297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8"/>
      <c r="AH111" s="226"/>
      <c r="AI111" s="227"/>
      <c r="AK111" s="228"/>
    </row>
    <row r="112" spans="1:37" x14ac:dyDescent="0.25">
      <c r="A112" s="271" t="s">
        <v>115</v>
      </c>
      <c r="B112" s="296"/>
      <c r="C112" s="297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8"/>
      <c r="AH112" s="226"/>
      <c r="AI112" s="227"/>
      <c r="AK112" s="228"/>
    </row>
    <row r="113" spans="1:37" x14ac:dyDescent="0.25">
      <c r="A113" s="271" t="s">
        <v>116</v>
      </c>
      <c r="B113" s="296"/>
      <c r="C113" s="297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8"/>
      <c r="AH113" s="226"/>
      <c r="AI113" s="227"/>
      <c r="AK113" s="228"/>
    </row>
    <row r="114" spans="1:37" x14ac:dyDescent="0.25">
      <c r="A114" s="271" t="s">
        <v>117</v>
      </c>
      <c r="B114" s="296"/>
      <c r="C114" s="29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8"/>
      <c r="AH114" s="226"/>
      <c r="AI114" s="227"/>
      <c r="AK114" s="228"/>
    </row>
    <row r="115" spans="1:37" x14ac:dyDescent="0.25">
      <c r="A115" s="271" t="s">
        <v>118</v>
      </c>
      <c r="B115" s="296"/>
      <c r="C115" s="29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8"/>
      <c r="AH115" s="226"/>
      <c r="AI115" s="227"/>
      <c r="AK115" s="228"/>
    </row>
    <row r="116" spans="1:37" x14ac:dyDescent="0.25">
      <c r="A116" s="271" t="s">
        <v>119</v>
      </c>
      <c r="B116" s="296"/>
      <c r="C116" s="297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8"/>
      <c r="AH116" s="226"/>
      <c r="AI116" s="227"/>
      <c r="AK116" s="228"/>
    </row>
    <row r="117" spans="1:37" x14ac:dyDescent="0.25">
      <c r="A117" s="271" t="s">
        <v>120</v>
      </c>
      <c r="B117" s="296"/>
      <c r="C117" s="297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8"/>
      <c r="AH117" s="226"/>
      <c r="AI117" s="227"/>
      <c r="AK117" s="228"/>
    </row>
    <row r="118" spans="1:37" x14ac:dyDescent="0.25">
      <c r="A118" s="271" t="s">
        <v>121</v>
      </c>
      <c r="B118" s="296"/>
      <c r="C118" s="297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8"/>
      <c r="AH118" s="226"/>
      <c r="AI118" s="227"/>
      <c r="AK118" s="228"/>
    </row>
    <row r="119" spans="1:37" x14ac:dyDescent="0.25">
      <c r="A119" s="271" t="s">
        <v>122</v>
      </c>
      <c r="B119" s="296"/>
      <c r="C119" s="297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8"/>
      <c r="AH119" s="226"/>
      <c r="AI119" s="227"/>
      <c r="AK119" s="228"/>
    </row>
    <row r="120" spans="1:37" x14ac:dyDescent="0.25">
      <c r="A120" s="271" t="s">
        <v>123</v>
      </c>
      <c r="B120" s="296"/>
      <c r="C120" s="297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8"/>
      <c r="AH120" s="226"/>
      <c r="AI120" s="227"/>
      <c r="AK120" s="228"/>
    </row>
    <row r="121" spans="1:37" x14ac:dyDescent="0.25">
      <c r="A121" s="271" t="s">
        <v>124</v>
      </c>
      <c r="B121" s="296"/>
      <c r="C121" s="297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8"/>
      <c r="AH121" s="226"/>
      <c r="AI121" s="227"/>
      <c r="AK121" s="228"/>
    </row>
    <row r="122" spans="1:37" x14ac:dyDescent="0.25">
      <c r="A122" s="271" t="s">
        <v>125</v>
      </c>
      <c r="B122" s="296"/>
      <c r="C122" s="297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  <c r="AD122" s="296"/>
      <c r="AE122" s="296"/>
      <c r="AF122" s="296"/>
      <c r="AG122" s="298"/>
      <c r="AH122" s="226"/>
      <c r="AI122" s="227"/>
      <c r="AK122" s="228"/>
    </row>
    <row r="123" spans="1:37" x14ac:dyDescent="0.25">
      <c r="A123" s="271" t="s">
        <v>126</v>
      </c>
      <c r="B123" s="296"/>
      <c r="C123" s="297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8"/>
      <c r="AH123" s="226"/>
      <c r="AI123" s="227"/>
      <c r="AK123" s="228"/>
    </row>
    <row r="124" spans="1:37" x14ac:dyDescent="0.25">
      <c r="A124" s="271" t="s">
        <v>127</v>
      </c>
      <c r="B124" s="296"/>
      <c r="C124" s="297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  <c r="AD124" s="296"/>
      <c r="AE124" s="296"/>
      <c r="AF124" s="296"/>
      <c r="AG124" s="298"/>
      <c r="AH124" s="226"/>
      <c r="AI124" s="227"/>
      <c r="AK124" s="228"/>
    </row>
    <row r="125" spans="1:37" x14ac:dyDescent="0.25">
      <c r="A125" s="271" t="s">
        <v>128</v>
      </c>
      <c r="B125" s="299"/>
      <c r="C125" s="300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  <c r="AB125" s="299"/>
      <c r="AC125" s="299"/>
      <c r="AD125" s="299"/>
      <c r="AE125" s="299"/>
      <c r="AF125" s="299"/>
      <c r="AG125" s="301">
        <v>9.9</v>
      </c>
      <c r="AH125" s="226"/>
      <c r="AI125" s="227"/>
      <c r="AK125" s="228"/>
    </row>
    <row r="126" spans="1:37" x14ac:dyDescent="0.25">
      <c r="A126" s="286" t="s">
        <v>129</v>
      </c>
      <c r="B126" s="299"/>
      <c r="C126" s="300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  <c r="AB126" s="299"/>
      <c r="AC126" s="299"/>
      <c r="AD126" s="299"/>
      <c r="AE126" s="299"/>
      <c r="AF126" s="299"/>
      <c r="AG126" s="302">
        <v>9.6579999999999995</v>
      </c>
      <c r="AH126" s="226"/>
      <c r="AI126" s="227"/>
      <c r="AK126" s="228"/>
    </row>
    <row r="127" spans="1:37" x14ac:dyDescent="0.25">
      <c r="A127" s="286" t="s">
        <v>130</v>
      </c>
      <c r="B127" s="299"/>
      <c r="C127" s="300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2">
        <v>9.6</v>
      </c>
      <c r="AH127" s="226"/>
      <c r="AI127" s="227"/>
      <c r="AK127" s="228"/>
    </row>
    <row r="128" spans="1:37" x14ac:dyDescent="0.25">
      <c r="A128" s="286" t="s">
        <v>131</v>
      </c>
      <c r="B128" s="299"/>
      <c r="C128" s="300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2">
        <v>9.51</v>
      </c>
      <c r="AH128" s="226"/>
      <c r="AI128" s="227"/>
      <c r="AK128" s="228"/>
    </row>
    <row r="129" spans="1:37" x14ac:dyDescent="0.25">
      <c r="A129" s="286" t="s">
        <v>132</v>
      </c>
      <c r="B129" s="299"/>
      <c r="C129" s="300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2">
        <v>9.4</v>
      </c>
      <c r="AH129" s="226"/>
      <c r="AI129" s="227"/>
      <c r="AK129" s="228"/>
    </row>
    <row r="130" spans="1:37" x14ac:dyDescent="0.25">
      <c r="A130" s="286" t="s">
        <v>133</v>
      </c>
      <c r="B130" s="299"/>
      <c r="C130" s="300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  <c r="AB130" s="299"/>
      <c r="AC130" s="299"/>
      <c r="AD130" s="299"/>
      <c r="AE130" s="299"/>
      <c r="AF130" s="299"/>
      <c r="AG130" s="302">
        <v>8.8000000000000007</v>
      </c>
      <c r="AH130" s="226"/>
      <c r="AI130" s="227"/>
      <c r="AK130" s="228"/>
    </row>
    <row r="131" spans="1:37" x14ac:dyDescent="0.25">
      <c r="A131" s="286" t="s">
        <v>134</v>
      </c>
      <c r="B131" s="299"/>
      <c r="C131" s="300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302">
        <v>8.5</v>
      </c>
      <c r="AH131" s="226"/>
      <c r="AI131" s="227"/>
      <c r="AK131" s="228"/>
    </row>
    <row r="132" spans="1:37" x14ac:dyDescent="0.25">
      <c r="A132" s="286" t="s">
        <v>135</v>
      </c>
      <c r="B132" s="299"/>
      <c r="C132" s="300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302">
        <v>8.5</v>
      </c>
      <c r="AH132" s="226"/>
      <c r="AI132" s="227"/>
      <c r="AK132" s="228"/>
    </row>
    <row r="133" spans="1:37" x14ac:dyDescent="0.25">
      <c r="A133" s="286" t="s">
        <v>136</v>
      </c>
      <c r="B133" s="299"/>
      <c r="C133" s="300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  <c r="AB133" s="299"/>
      <c r="AC133" s="299"/>
      <c r="AD133" s="299"/>
      <c r="AE133" s="299"/>
      <c r="AF133" s="299"/>
      <c r="AG133" s="302">
        <v>8.4</v>
      </c>
      <c r="AH133" s="226"/>
      <c r="AI133" s="227"/>
      <c r="AK133" s="228"/>
    </row>
    <row r="134" spans="1:37" ht="13.5" customHeight="1" x14ac:dyDescent="0.25">
      <c r="A134" s="286" t="s">
        <v>137</v>
      </c>
      <c r="B134" s="299"/>
      <c r="C134" s="300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  <c r="AB134" s="299"/>
      <c r="AC134" s="299"/>
      <c r="AD134" s="299"/>
      <c r="AE134" s="299"/>
      <c r="AF134" s="299"/>
      <c r="AG134" s="302">
        <v>8</v>
      </c>
      <c r="AH134" s="226"/>
      <c r="AI134" s="227"/>
      <c r="AK134" s="228"/>
    </row>
    <row r="135" spans="1:37" x14ac:dyDescent="0.25">
      <c r="A135" s="286" t="s">
        <v>138</v>
      </c>
      <c r="B135" s="299"/>
      <c r="C135" s="300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  <c r="AB135" s="299"/>
      <c r="AC135" s="299"/>
      <c r="AD135" s="299"/>
      <c r="AE135" s="299"/>
      <c r="AF135" s="299"/>
      <c r="AG135" s="302">
        <v>8</v>
      </c>
      <c r="AH135" s="226"/>
      <c r="AI135" s="227"/>
      <c r="AK135" s="228"/>
    </row>
    <row r="136" spans="1:37" x14ac:dyDescent="0.25">
      <c r="A136" s="286" t="s">
        <v>139</v>
      </c>
      <c r="B136" s="299"/>
      <c r="C136" s="300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2">
        <v>8</v>
      </c>
      <c r="AH136" s="226"/>
      <c r="AI136" s="227"/>
      <c r="AK136" s="228"/>
    </row>
    <row r="137" spans="1:37" x14ac:dyDescent="0.25">
      <c r="A137" s="286" t="s">
        <v>140</v>
      </c>
      <c r="B137" s="299"/>
      <c r="C137" s="300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2">
        <v>7.8</v>
      </c>
      <c r="AH137" s="226"/>
      <c r="AI137" s="227"/>
      <c r="AK137" s="228"/>
    </row>
    <row r="138" spans="1:37" x14ac:dyDescent="0.25">
      <c r="A138" s="286" t="s">
        <v>141</v>
      </c>
      <c r="B138" s="299"/>
      <c r="C138" s="300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2">
        <v>7.6</v>
      </c>
      <c r="AH138" s="226"/>
      <c r="AI138" s="227"/>
      <c r="AK138" s="228"/>
    </row>
    <row r="139" spans="1:37" x14ac:dyDescent="0.25">
      <c r="A139" s="286" t="s">
        <v>142</v>
      </c>
      <c r="B139" s="299"/>
      <c r="C139" s="300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  <c r="AB139" s="299"/>
      <c r="AC139" s="299"/>
      <c r="AD139" s="299"/>
      <c r="AE139" s="299"/>
      <c r="AF139" s="299"/>
      <c r="AG139" s="302">
        <v>7.5</v>
      </c>
      <c r="AH139" s="226"/>
      <c r="AI139" s="227"/>
      <c r="AK139" s="228"/>
    </row>
    <row r="140" spans="1:37" x14ac:dyDescent="0.25">
      <c r="A140" s="286" t="s">
        <v>143</v>
      </c>
      <c r="B140" s="299"/>
      <c r="C140" s="300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  <c r="AB140" s="299"/>
      <c r="AC140" s="299"/>
      <c r="AD140" s="299"/>
      <c r="AE140" s="299"/>
      <c r="AF140" s="299"/>
      <c r="AG140" s="302">
        <v>7.5</v>
      </c>
      <c r="AH140" s="226"/>
      <c r="AI140" s="227"/>
      <c r="AK140" s="228"/>
    </row>
    <row r="141" spans="1:37" x14ac:dyDescent="0.25">
      <c r="A141" s="286" t="s">
        <v>144</v>
      </c>
      <c r="B141" s="299"/>
      <c r="C141" s="300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  <c r="AB141" s="299"/>
      <c r="AC141" s="299"/>
      <c r="AD141" s="299"/>
      <c r="AE141" s="299"/>
      <c r="AF141" s="299"/>
      <c r="AG141" s="302">
        <v>7</v>
      </c>
      <c r="AH141" s="226"/>
      <c r="AI141" s="227"/>
      <c r="AK141" s="228"/>
    </row>
    <row r="142" spans="1:37" x14ac:dyDescent="0.25">
      <c r="A142" s="286" t="s">
        <v>145</v>
      </c>
      <c r="B142" s="299"/>
      <c r="C142" s="300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  <c r="AB142" s="299"/>
      <c r="AC142" s="299"/>
      <c r="AD142" s="299"/>
      <c r="AE142" s="299"/>
      <c r="AF142" s="299"/>
      <c r="AG142" s="302">
        <v>7</v>
      </c>
      <c r="AH142" s="226"/>
      <c r="AI142" s="227"/>
      <c r="AK142" s="228"/>
    </row>
    <row r="143" spans="1:37" x14ac:dyDescent="0.25">
      <c r="A143" s="286" t="s">
        <v>146</v>
      </c>
      <c r="B143" s="299"/>
      <c r="C143" s="300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  <c r="AB143" s="299"/>
      <c r="AC143" s="299"/>
      <c r="AD143" s="299"/>
      <c r="AE143" s="299"/>
      <c r="AF143" s="299"/>
      <c r="AG143" s="302">
        <v>7</v>
      </c>
      <c r="AH143" s="226"/>
      <c r="AI143" s="227"/>
      <c r="AK143" s="228"/>
    </row>
    <row r="144" spans="1:37" x14ac:dyDescent="0.25">
      <c r="A144" s="286" t="s">
        <v>147</v>
      </c>
      <c r="B144" s="299"/>
      <c r="C144" s="300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  <c r="AB144" s="299"/>
      <c r="AC144" s="299"/>
      <c r="AD144" s="299"/>
      <c r="AE144" s="299"/>
      <c r="AF144" s="299"/>
      <c r="AG144" s="302">
        <v>7</v>
      </c>
      <c r="AH144" s="226"/>
      <c r="AI144" s="227"/>
      <c r="AK144" s="228"/>
    </row>
    <row r="145" spans="1:37" x14ac:dyDescent="0.25">
      <c r="A145" s="286" t="s">
        <v>148</v>
      </c>
      <c r="B145" s="299"/>
      <c r="C145" s="300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  <c r="AB145" s="299"/>
      <c r="AC145" s="299"/>
      <c r="AD145" s="299"/>
      <c r="AE145" s="299"/>
      <c r="AF145" s="299"/>
      <c r="AG145" s="302">
        <v>6.6</v>
      </c>
      <c r="AH145" s="226"/>
      <c r="AI145" s="227"/>
      <c r="AK145" s="228"/>
    </row>
    <row r="146" spans="1:37" x14ac:dyDescent="0.25">
      <c r="A146" s="286" t="s">
        <v>149</v>
      </c>
      <c r="B146" s="299"/>
      <c r="C146" s="300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302">
        <v>6.6</v>
      </c>
      <c r="AH146" s="226"/>
      <c r="AI146" s="227"/>
      <c r="AK146" s="228"/>
    </row>
    <row r="147" spans="1:37" x14ac:dyDescent="0.25">
      <c r="A147" s="286" t="s">
        <v>150</v>
      </c>
      <c r="B147" s="299"/>
      <c r="C147" s="300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  <c r="AB147" s="299"/>
      <c r="AC147" s="299"/>
      <c r="AD147" s="299"/>
      <c r="AE147" s="299"/>
      <c r="AF147" s="299"/>
      <c r="AG147" s="302">
        <v>6.4</v>
      </c>
      <c r="AH147" s="226"/>
      <c r="AI147" s="227"/>
      <c r="AK147" s="228"/>
    </row>
    <row r="148" spans="1:37" x14ac:dyDescent="0.25">
      <c r="A148" s="286" t="s">
        <v>151</v>
      </c>
      <c r="B148" s="299"/>
      <c r="C148" s="300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  <c r="AB148" s="299"/>
      <c r="AC148" s="299"/>
      <c r="AD148" s="299"/>
      <c r="AE148" s="299"/>
      <c r="AF148" s="299"/>
      <c r="AG148" s="302">
        <v>6</v>
      </c>
      <c r="AH148" s="226"/>
      <c r="AI148" s="227"/>
      <c r="AK148" s="228"/>
    </row>
    <row r="149" spans="1:37" x14ac:dyDescent="0.25">
      <c r="A149" s="286" t="s">
        <v>152</v>
      </c>
      <c r="B149" s="299"/>
      <c r="C149" s="300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  <c r="AB149" s="299"/>
      <c r="AC149" s="299"/>
      <c r="AD149" s="299"/>
      <c r="AE149" s="299"/>
      <c r="AF149" s="299"/>
      <c r="AG149" s="302">
        <v>5.0999999999999996</v>
      </c>
      <c r="AH149" s="226"/>
      <c r="AI149" s="227"/>
      <c r="AK149" s="228"/>
    </row>
    <row r="150" spans="1:37" x14ac:dyDescent="0.25">
      <c r="A150" s="286" t="s">
        <v>153</v>
      </c>
      <c r="B150" s="299"/>
      <c r="C150" s="300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302">
        <v>5</v>
      </c>
      <c r="AH150" s="226"/>
      <c r="AI150" s="227"/>
      <c r="AK150" s="228"/>
    </row>
    <row r="151" spans="1:37" x14ac:dyDescent="0.25">
      <c r="A151" s="271" t="s">
        <v>154</v>
      </c>
      <c r="B151" s="299"/>
      <c r="C151" s="300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301">
        <v>5</v>
      </c>
      <c r="AH151" s="226"/>
      <c r="AI151" s="227"/>
      <c r="AK151" s="228"/>
    </row>
    <row r="152" spans="1:37" x14ac:dyDescent="0.25">
      <c r="A152" s="286" t="s">
        <v>155</v>
      </c>
      <c r="B152" s="299"/>
      <c r="C152" s="300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302">
        <v>5</v>
      </c>
      <c r="AH152" s="226"/>
      <c r="AI152" s="227"/>
      <c r="AK152" s="228"/>
    </row>
    <row r="153" spans="1:37" x14ac:dyDescent="0.25">
      <c r="A153" s="286" t="s">
        <v>156</v>
      </c>
      <c r="B153" s="299"/>
      <c r="C153" s="300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  <c r="AB153" s="299"/>
      <c r="AC153" s="299"/>
      <c r="AD153" s="299"/>
      <c r="AE153" s="299"/>
      <c r="AF153" s="299"/>
      <c r="AG153" s="302">
        <v>5</v>
      </c>
      <c r="AH153" s="226"/>
      <c r="AI153" s="227"/>
      <c r="AK153" s="228"/>
    </row>
    <row r="154" spans="1:37" x14ac:dyDescent="0.25">
      <c r="A154" s="286" t="s">
        <v>157</v>
      </c>
      <c r="B154" s="299"/>
      <c r="C154" s="300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302">
        <v>5</v>
      </c>
      <c r="AH154" s="226"/>
      <c r="AI154" s="227"/>
      <c r="AK154" s="228"/>
    </row>
    <row r="155" spans="1:37" x14ac:dyDescent="0.25">
      <c r="A155" s="286" t="s">
        <v>158</v>
      </c>
      <c r="B155" s="299"/>
      <c r="C155" s="300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  <c r="AB155" s="299"/>
      <c r="AC155" s="299"/>
      <c r="AD155" s="299"/>
      <c r="AE155" s="299"/>
      <c r="AF155" s="299"/>
      <c r="AG155" s="302">
        <v>5</v>
      </c>
      <c r="AH155" s="226"/>
      <c r="AI155" s="227"/>
      <c r="AK155" s="228"/>
    </row>
    <row r="156" spans="1:37" x14ac:dyDescent="0.25">
      <c r="A156" s="286" t="s">
        <v>159</v>
      </c>
      <c r="B156" s="299"/>
      <c r="C156" s="300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  <c r="AB156" s="299"/>
      <c r="AC156" s="299"/>
      <c r="AD156" s="299"/>
      <c r="AE156" s="299"/>
      <c r="AF156" s="299"/>
      <c r="AG156" s="302">
        <v>5</v>
      </c>
      <c r="AH156" s="226"/>
      <c r="AI156" s="227"/>
      <c r="AK156" s="228"/>
    </row>
    <row r="157" spans="1:37" x14ac:dyDescent="0.25">
      <c r="A157" s="286" t="s">
        <v>160</v>
      </c>
      <c r="B157" s="299"/>
      <c r="C157" s="300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  <c r="AB157" s="299"/>
      <c r="AC157" s="299"/>
      <c r="AD157" s="299"/>
      <c r="AE157" s="299"/>
      <c r="AF157" s="299"/>
      <c r="AG157" s="302">
        <v>4.9930000000000003</v>
      </c>
      <c r="AH157" s="226"/>
      <c r="AI157" s="227"/>
      <c r="AK157" s="228"/>
    </row>
    <row r="158" spans="1:37" x14ac:dyDescent="0.25">
      <c r="A158" s="286" t="s">
        <v>161</v>
      </c>
      <c r="B158" s="299"/>
      <c r="C158" s="300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  <c r="AB158" s="299"/>
      <c r="AC158" s="299"/>
      <c r="AD158" s="299"/>
      <c r="AE158" s="299"/>
      <c r="AF158" s="299"/>
      <c r="AG158" s="302">
        <v>4.9800000000000004</v>
      </c>
      <c r="AH158" s="226"/>
      <c r="AI158" s="227"/>
      <c r="AK158" s="228"/>
    </row>
    <row r="159" spans="1:37" x14ac:dyDescent="0.25">
      <c r="A159" s="286" t="s">
        <v>162</v>
      </c>
      <c r="B159" s="299"/>
      <c r="C159" s="300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  <c r="AB159" s="299"/>
      <c r="AC159" s="299"/>
      <c r="AD159" s="299"/>
      <c r="AE159" s="299"/>
      <c r="AF159" s="299"/>
      <c r="AG159" s="302">
        <v>4.95</v>
      </c>
      <c r="AH159" s="226"/>
      <c r="AI159" s="227"/>
      <c r="AK159" s="228"/>
    </row>
    <row r="160" spans="1:37" x14ac:dyDescent="0.25">
      <c r="A160" s="286" t="s">
        <v>163</v>
      </c>
      <c r="B160" s="299"/>
      <c r="C160" s="300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302">
        <v>4.95</v>
      </c>
      <c r="AH160" s="226"/>
      <c r="AI160" s="227"/>
      <c r="AK160" s="228"/>
    </row>
    <row r="161" spans="1:37" x14ac:dyDescent="0.25">
      <c r="A161" s="286" t="s">
        <v>164</v>
      </c>
      <c r="B161" s="299"/>
      <c r="C161" s="300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302">
        <v>4.8</v>
      </c>
      <c r="AH161" s="226"/>
      <c r="AI161" s="227"/>
      <c r="AK161" s="228"/>
    </row>
    <row r="162" spans="1:37" x14ac:dyDescent="0.25">
      <c r="A162" s="286" t="s">
        <v>165</v>
      </c>
      <c r="B162" s="299"/>
      <c r="C162" s="300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302">
        <v>4.8</v>
      </c>
      <c r="AH162" s="226"/>
      <c r="AI162" s="227"/>
      <c r="AK162" s="228"/>
    </row>
    <row r="163" spans="1:37" x14ac:dyDescent="0.25">
      <c r="A163" s="286" t="s">
        <v>166</v>
      </c>
      <c r="B163" s="299"/>
      <c r="C163" s="300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302">
        <v>4.8</v>
      </c>
      <c r="AH163" s="226"/>
      <c r="AI163" s="227"/>
      <c r="AK163" s="228"/>
    </row>
    <row r="164" spans="1:37" x14ac:dyDescent="0.25">
      <c r="A164" s="286" t="s">
        <v>167</v>
      </c>
      <c r="B164" s="299"/>
      <c r="C164" s="300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302">
        <v>4.5</v>
      </c>
      <c r="AH164" s="226"/>
      <c r="AI164" s="227"/>
      <c r="AK164" s="228"/>
    </row>
    <row r="165" spans="1:37" x14ac:dyDescent="0.25">
      <c r="A165" s="286" t="s">
        <v>168</v>
      </c>
      <c r="B165" s="299"/>
      <c r="C165" s="300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  <c r="AB165" s="299"/>
      <c r="AC165" s="299"/>
      <c r="AD165" s="299"/>
      <c r="AE165" s="299"/>
      <c r="AF165" s="299"/>
      <c r="AG165" s="302">
        <v>4.5</v>
      </c>
      <c r="AH165" s="226"/>
      <c r="AI165" s="227"/>
      <c r="AK165" s="228"/>
    </row>
    <row r="166" spans="1:37" x14ac:dyDescent="0.25">
      <c r="A166" s="286" t="s">
        <v>169</v>
      </c>
      <c r="B166" s="299"/>
      <c r="C166" s="300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  <c r="AB166" s="299"/>
      <c r="AC166" s="299"/>
      <c r="AD166" s="299"/>
      <c r="AE166" s="299"/>
      <c r="AF166" s="299"/>
      <c r="AG166" s="302">
        <v>4.4550000000000001</v>
      </c>
      <c r="AH166" s="226"/>
      <c r="AI166" s="227"/>
      <c r="AK166" s="228"/>
    </row>
    <row r="167" spans="1:37" x14ac:dyDescent="0.25">
      <c r="A167" s="286" t="s">
        <v>170</v>
      </c>
      <c r="B167" s="299"/>
      <c r="C167" s="300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  <c r="AC167" s="299"/>
      <c r="AD167" s="299"/>
      <c r="AE167" s="299"/>
      <c r="AF167" s="299"/>
      <c r="AG167" s="302">
        <v>4.41</v>
      </c>
      <c r="AH167" s="226"/>
      <c r="AI167" s="227"/>
      <c r="AK167" s="228"/>
    </row>
    <row r="168" spans="1:37" x14ac:dyDescent="0.25">
      <c r="A168" s="286" t="s">
        <v>171</v>
      </c>
      <c r="B168" s="299"/>
      <c r="C168" s="300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  <c r="AB168" s="299"/>
      <c r="AC168" s="299"/>
      <c r="AD168" s="299"/>
      <c r="AE168" s="299"/>
      <c r="AF168" s="299"/>
      <c r="AG168" s="302">
        <v>4.4000000000000004</v>
      </c>
      <c r="AH168" s="226"/>
      <c r="AI168" s="227"/>
      <c r="AK168" s="228"/>
    </row>
    <row r="169" spans="1:37" x14ac:dyDescent="0.25">
      <c r="A169" s="286" t="s">
        <v>172</v>
      </c>
      <c r="B169" s="299"/>
      <c r="C169" s="300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  <c r="AB169" s="299"/>
      <c r="AC169" s="299"/>
      <c r="AD169" s="299"/>
      <c r="AE169" s="299"/>
      <c r="AF169" s="299"/>
      <c r="AG169" s="302">
        <v>4.3600000000000003</v>
      </c>
      <c r="AH169" s="226"/>
      <c r="AI169" s="227"/>
      <c r="AK169" s="228"/>
    </row>
    <row r="170" spans="1:37" x14ac:dyDescent="0.25">
      <c r="A170" s="286" t="s">
        <v>173</v>
      </c>
      <c r="B170" s="299"/>
      <c r="C170" s="300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  <c r="AB170" s="299"/>
      <c r="AC170" s="299"/>
      <c r="AD170" s="299"/>
      <c r="AE170" s="299"/>
      <c r="AF170" s="299"/>
      <c r="AG170" s="302">
        <v>4.2</v>
      </c>
      <c r="AH170" s="226"/>
      <c r="AI170" s="227"/>
      <c r="AK170" s="228"/>
    </row>
    <row r="171" spans="1:37" x14ac:dyDescent="0.25">
      <c r="A171" s="286" t="s">
        <v>174</v>
      </c>
      <c r="B171" s="299"/>
      <c r="C171" s="300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  <c r="AB171" s="299"/>
      <c r="AC171" s="299"/>
      <c r="AD171" s="299"/>
      <c r="AE171" s="299"/>
      <c r="AF171" s="299"/>
      <c r="AG171" s="302">
        <v>4</v>
      </c>
      <c r="AH171" s="226"/>
      <c r="AI171" s="227"/>
      <c r="AK171" s="228"/>
    </row>
    <row r="172" spans="1:37" x14ac:dyDescent="0.25">
      <c r="A172" s="286" t="s">
        <v>175</v>
      </c>
      <c r="B172" s="299"/>
      <c r="C172" s="300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299"/>
      <c r="AE172" s="299"/>
      <c r="AF172" s="299"/>
      <c r="AG172" s="302">
        <v>4</v>
      </c>
      <c r="AH172" s="226"/>
      <c r="AI172" s="227"/>
      <c r="AK172" s="228"/>
    </row>
    <row r="173" spans="1:37" x14ac:dyDescent="0.25">
      <c r="A173" s="286" t="s">
        <v>176</v>
      </c>
      <c r="B173" s="299"/>
      <c r="C173" s="300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  <c r="AB173" s="299"/>
      <c r="AC173" s="299"/>
      <c r="AD173" s="299"/>
      <c r="AE173" s="299"/>
      <c r="AF173" s="299"/>
      <c r="AG173" s="302">
        <v>4</v>
      </c>
      <c r="AH173" s="226"/>
      <c r="AI173" s="227"/>
      <c r="AK173" s="228"/>
    </row>
    <row r="174" spans="1:37" x14ac:dyDescent="0.25">
      <c r="A174" s="286" t="s">
        <v>177</v>
      </c>
      <c r="B174" s="299"/>
      <c r="C174" s="300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302">
        <v>4</v>
      </c>
      <c r="AH174" s="226"/>
      <c r="AI174" s="227"/>
      <c r="AK174" s="228"/>
    </row>
    <row r="175" spans="1:37" x14ac:dyDescent="0.25">
      <c r="A175" s="286" t="s">
        <v>178</v>
      </c>
      <c r="B175" s="299"/>
      <c r="C175" s="300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302">
        <v>4</v>
      </c>
      <c r="AH175" s="226"/>
      <c r="AI175" s="227"/>
      <c r="AK175" s="228"/>
    </row>
    <row r="176" spans="1:37" x14ac:dyDescent="0.25">
      <c r="A176" s="286" t="s">
        <v>179</v>
      </c>
      <c r="B176" s="299"/>
      <c r="C176" s="300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302">
        <v>4</v>
      </c>
      <c r="AH176" s="226"/>
      <c r="AI176" s="227"/>
      <c r="AK176" s="228"/>
    </row>
    <row r="177" spans="1:37" x14ac:dyDescent="0.25">
      <c r="A177" s="286" t="s">
        <v>180</v>
      </c>
      <c r="B177" s="299"/>
      <c r="C177" s="300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302">
        <v>4</v>
      </c>
      <c r="AH177" s="226"/>
      <c r="AI177" s="227"/>
      <c r="AK177" s="228"/>
    </row>
    <row r="178" spans="1:37" x14ac:dyDescent="0.25">
      <c r="A178" s="286" t="s">
        <v>181</v>
      </c>
      <c r="B178" s="299"/>
      <c r="C178" s="300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302">
        <v>4</v>
      </c>
      <c r="AH178" s="226"/>
      <c r="AI178" s="227"/>
      <c r="AK178" s="228"/>
    </row>
    <row r="179" spans="1:37" x14ac:dyDescent="0.25">
      <c r="A179" s="286" t="s">
        <v>182</v>
      </c>
      <c r="B179" s="299"/>
      <c r="C179" s="300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302">
        <v>3.75</v>
      </c>
      <c r="AH179" s="226"/>
      <c r="AI179" s="227"/>
      <c r="AK179" s="228"/>
    </row>
    <row r="180" spans="1:37" x14ac:dyDescent="0.25">
      <c r="A180" s="286" t="s">
        <v>183</v>
      </c>
      <c r="B180" s="299"/>
      <c r="C180" s="300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  <c r="AB180" s="299"/>
      <c r="AC180" s="299"/>
      <c r="AD180" s="299"/>
      <c r="AE180" s="299"/>
      <c r="AF180" s="299"/>
      <c r="AG180" s="302">
        <v>3.52</v>
      </c>
      <c r="AH180" s="226"/>
      <c r="AI180" s="227"/>
      <c r="AK180" s="228"/>
    </row>
    <row r="181" spans="1:37" x14ac:dyDescent="0.25">
      <c r="A181" s="286" t="s">
        <v>184</v>
      </c>
      <c r="B181" s="299"/>
      <c r="C181" s="300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302">
        <v>3.33</v>
      </c>
      <c r="AH181" s="226"/>
      <c r="AI181" s="227"/>
      <c r="AK181" s="228"/>
    </row>
    <row r="182" spans="1:37" x14ac:dyDescent="0.25">
      <c r="A182" s="286" t="s">
        <v>185</v>
      </c>
      <c r="B182" s="299"/>
      <c r="C182" s="300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302">
        <v>3.2</v>
      </c>
      <c r="AH182" s="226"/>
      <c r="AI182" s="227"/>
      <c r="AK182" s="228"/>
    </row>
    <row r="183" spans="1:37" x14ac:dyDescent="0.25">
      <c r="A183" s="286" t="s">
        <v>186</v>
      </c>
      <c r="B183" s="299"/>
      <c r="C183" s="300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302">
        <v>3</v>
      </c>
      <c r="AH183" s="226"/>
      <c r="AI183" s="227"/>
      <c r="AK183" s="228"/>
    </row>
    <row r="184" spans="1:37" x14ac:dyDescent="0.25">
      <c r="A184" s="286" t="s">
        <v>187</v>
      </c>
      <c r="B184" s="299"/>
      <c r="C184" s="300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302">
        <v>3</v>
      </c>
      <c r="AH184" s="226"/>
      <c r="AI184" s="227"/>
      <c r="AK184" s="228"/>
    </row>
    <row r="185" spans="1:37" x14ac:dyDescent="0.25">
      <c r="A185" s="286" t="s">
        <v>188</v>
      </c>
      <c r="B185" s="299"/>
      <c r="C185" s="300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302">
        <v>3</v>
      </c>
      <c r="AH185" s="226"/>
      <c r="AI185" s="227"/>
      <c r="AK185" s="228"/>
    </row>
    <row r="186" spans="1:37" x14ac:dyDescent="0.25">
      <c r="A186" s="286" t="s">
        <v>189</v>
      </c>
      <c r="B186" s="299"/>
      <c r="C186" s="300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  <c r="AB186" s="299"/>
      <c r="AC186" s="299"/>
      <c r="AD186" s="299"/>
      <c r="AE186" s="299"/>
      <c r="AF186" s="299"/>
      <c r="AG186" s="302">
        <v>3</v>
      </c>
      <c r="AH186" s="226"/>
      <c r="AI186" s="227"/>
      <c r="AK186" s="228"/>
    </row>
    <row r="187" spans="1:37" x14ac:dyDescent="0.25">
      <c r="A187" s="286" t="s">
        <v>190</v>
      </c>
      <c r="B187" s="299"/>
      <c r="C187" s="300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  <c r="AB187" s="299"/>
      <c r="AC187" s="299"/>
      <c r="AD187" s="299"/>
      <c r="AE187" s="299"/>
      <c r="AF187" s="299"/>
      <c r="AG187" s="302">
        <v>3</v>
      </c>
      <c r="AH187" s="226"/>
      <c r="AI187" s="227"/>
      <c r="AK187" s="228"/>
    </row>
    <row r="188" spans="1:37" x14ac:dyDescent="0.25">
      <c r="A188" s="286" t="s">
        <v>191</v>
      </c>
      <c r="B188" s="299"/>
      <c r="C188" s="300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  <c r="AB188" s="299"/>
      <c r="AC188" s="299"/>
      <c r="AD188" s="299"/>
      <c r="AE188" s="299"/>
      <c r="AF188" s="299"/>
      <c r="AG188" s="302">
        <v>3</v>
      </c>
      <c r="AH188" s="226"/>
      <c r="AI188" s="227"/>
      <c r="AK188" s="228"/>
    </row>
    <row r="189" spans="1:37" x14ac:dyDescent="0.25">
      <c r="A189" s="286" t="s">
        <v>192</v>
      </c>
      <c r="B189" s="299"/>
      <c r="C189" s="300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  <c r="AB189" s="299"/>
      <c r="AC189" s="299"/>
      <c r="AD189" s="299"/>
      <c r="AE189" s="299"/>
      <c r="AF189" s="299"/>
      <c r="AG189" s="302">
        <v>3</v>
      </c>
      <c r="AH189" s="226"/>
      <c r="AI189" s="227"/>
      <c r="AK189" s="228"/>
    </row>
    <row r="190" spans="1:37" x14ac:dyDescent="0.25">
      <c r="A190" s="286" t="s">
        <v>193</v>
      </c>
      <c r="B190" s="299"/>
      <c r="C190" s="300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  <c r="AB190" s="299"/>
      <c r="AC190" s="299"/>
      <c r="AD190" s="299"/>
      <c r="AE190" s="299"/>
      <c r="AF190" s="299"/>
      <c r="AG190" s="302">
        <v>3</v>
      </c>
      <c r="AH190" s="226"/>
      <c r="AI190" s="227"/>
      <c r="AK190" s="228"/>
    </row>
    <row r="191" spans="1:37" x14ac:dyDescent="0.25">
      <c r="A191" s="286" t="s">
        <v>194</v>
      </c>
      <c r="B191" s="299"/>
      <c r="C191" s="300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  <c r="AB191" s="299"/>
      <c r="AC191" s="299"/>
      <c r="AD191" s="299"/>
      <c r="AE191" s="299"/>
      <c r="AF191" s="299"/>
      <c r="AG191" s="302">
        <v>2.83</v>
      </c>
      <c r="AH191" s="226"/>
      <c r="AI191" s="227"/>
      <c r="AK191" s="228"/>
    </row>
    <row r="192" spans="1:37" x14ac:dyDescent="0.25">
      <c r="A192" s="286" t="s">
        <v>195</v>
      </c>
      <c r="B192" s="299"/>
      <c r="C192" s="300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  <c r="AB192" s="299"/>
      <c r="AC192" s="299"/>
      <c r="AD192" s="299"/>
      <c r="AE192" s="299"/>
      <c r="AF192" s="299"/>
      <c r="AG192" s="302">
        <v>2.5</v>
      </c>
      <c r="AH192" s="226"/>
      <c r="AI192" s="227"/>
      <c r="AK192" s="228"/>
    </row>
    <row r="193" spans="1:37" x14ac:dyDescent="0.25">
      <c r="A193" s="286" t="s">
        <v>196</v>
      </c>
      <c r="B193" s="299"/>
      <c r="C193" s="300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  <c r="AB193" s="299"/>
      <c r="AC193" s="299"/>
      <c r="AD193" s="299"/>
      <c r="AE193" s="299"/>
      <c r="AF193" s="299"/>
      <c r="AG193" s="302">
        <v>2.5</v>
      </c>
      <c r="AH193" s="226"/>
      <c r="AI193" s="227"/>
      <c r="AK193" s="228"/>
    </row>
    <row r="194" spans="1:37" x14ac:dyDescent="0.25">
      <c r="A194" s="286" t="s">
        <v>197</v>
      </c>
      <c r="B194" s="299"/>
      <c r="C194" s="300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  <c r="AB194" s="299"/>
      <c r="AC194" s="299"/>
      <c r="AD194" s="299"/>
      <c r="AE194" s="299"/>
      <c r="AF194" s="299"/>
      <c r="AG194" s="302">
        <v>2.4</v>
      </c>
      <c r="AH194" s="226"/>
      <c r="AI194" s="227"/>
      <c r="AK194" s="228"/>
    </row>
    <row r="195" spans="1:37" x14ac:dyDescent="0.25">
      <c r="A195" s="286" t="s">
        <v>198</v>
      </c>
      <c r="B195" s="299"/>
      <c r="C195" s="300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  <c r="AB195" s="299"/>
      <c r="AC195" s="299"/>
      <c r="AD195" s="299"/>
      <c r="AE195" s="299"/>
      <c r="AF195" s="299"/>
      <c r="AG195" s="302">
        <v>2.4</v>
      </c>
      <c r="AH195" s="226"/>
      <c r="AI195" s="227"/>
      <c r="AK195" s="228"/>
    </row>
    <row r="196" spans="1:37" x14ac:dyDescent="0.25">
      <c r="A196" s="286" t="s">
        <v>199</v>
      </c>
      <c r="B196" s="299"/>
      <c r="C196" s="300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  <c r="AB196" s="299"/>
      <c r="AC196" s="299"/>
      <c r="AD196" s="299"/>
      <c r="AE196" s="299"/>
      <c r="AF196" s="299"/>
      <c r="AG196" s="302">
        <v>2.2000000000000002</v>
      </c>
      <c r="AH196" s="226"/>
      <c r="AI196" s="227"/>
      <c r="AK196" s="228"/>
    </row>
    <row r="197" spans="1:37" x14ac:dyDescent="0.25">
      <c r="A197" s="286" t="s">
        <v>200</v>
      </c>
      <c r="B197" s="299"/>
      <c r="C197" s="300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  <c r="AB197" s="299"/>
      <c r="AC197" s="299"/>
      <c r="AD197" s="299"/>
      <c r="AE197" s="299"/>
      <c r="AF197" s="299"/>
      <c r="AG197" s="302">
        <v>2</v>
      </c>
      <c r="AH197" s="226"/>
      <c r="AI197" s="227"/>
      <c r="AK197" s="228"/>
    </row>
    <row r="198" spans="1:37" x14ac:dyDescent="0.25">
      <c r="A198" s="286" t="s">
        <v>201</v>
      </c>
      <c r="B198" s="299"/>
      <c r="C198" s="300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  <c r="AB198" s="299"/>
      <c r="AC198" s="299"/>
      <c r="AD198" s="299"/>
      <c r="AE198" s="299"/>
      <c r="AF198" s="299"/>
      <c r="AG198" s="302">
        <v>2</v>
      </c>
      <c r="AH198" s="226"/>
      <c r="AI198" s="227"/>
      <c r="AK198" s="228"/>
    </row>
    <row r="199" spans="1:37" x14ac:dyDescent="0.25">
      <c r="A199" s="286" t="s">
        <v>202</v>
      </c>
      <c r="B199" s="299"/>
      <c r="C199" s="300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  <c r="AB199" s="299"/>
      <c r="AC199" s="299"/>
      <c r="AD199" s="299"/>
      <c r="AE199" s="299"/>
      <c r="AF199" s="299"/>
      <c r="AG199" s="302">
        <v>2</v>
      </c>
      <c r="AH199" s="226"/>
      <c r="AI199" s="227"/>
      <c r="AK199" s="228"/>
    </row>
    <row r="200" spans="1:37" x14ac:dyDescent="0.25">
      <c r="A200" s="286" t="s">
        <v>203</v>
      </c>
      <c r="B200" s="299"/>
      <c r="C200" s="300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  <c r="AB200" s="299"/>
      <c r="AC200" s="299"/>
      <c r="AD200" s="299"/>
      <c r="AE200" s="299"/>
      <c r="AF200" s="299"/>
      <c r="AG200" s="302">
        <v>1.8</v>
      </c>
      <c r="AH200" s="226"/>
      <c r="AI200" s="227"/>
      <c r="AK200" s="228"/>
    </row>
    <row r="201" spans="1:37" x14ac:dyDescent="0.25">
      <c r="A201" s="286" t="s">
        <v>204</v>
      </c>
      <c r="B201" s="299"/>
      <c r="C201" s="300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  <c r="AB201" s="299"/>
      <c r="AC201" s="299"/>
      <c r="AD201" s="299"/>
      <c r="AE201" s="299"/>
      <c r="AF201" s="299"/>
      <c r="AG201" s="302">
        <v>1.8</v>
      </c>
      <c r="AH201" s="226"/>
      <c r="AI201" s="227"/>
      <c r="AK201" s="228"/>
    </row>
    <row r="202" spans="1:37" x14ac:dyDescent="0.25">
      <c r="A202" s="286" t="s">
        <v>205</v>
      </c>
      <c r="B202" s="299"/>
      <c r="C202" s="300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302">
        <v>1.65</v>
      </c>
      <c r="AH202" s="226"/>
      <c r="AI202" s="227"/>
      <c r="AK202" s="228"/>
    </row>
    <row r="203" spans="1:37" x14ac:dyDescent="0.25">
      <c r="A203" s="286" t="s">
        <v>206</v>
      </c>
      <c r="B203" s="299"/>
      <c r="C203" s="300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302">
        <v>1.5</v>
      </c>
      <c r="AH203" s="226"/>
      <c r="AI203" s="227"/>
      <c r="AK203" s="228"/>
    </row>
    <row r="204" spans="1:37" x14ac:dyDescent="0.25">
      <c r="A204" s="286" t="s">
        <v>207</v>
      </c>
      <c r="B204" s="299"/>
      <c r="C204" s="300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302">
        <v>0.998</v>
      </c>
      <c r="AH204" s="226"/>
      <c r="AI204" s="227"/>
      <c r="AK204" s="228"/>
    </row>
    <row r="205" spans="1:37" x14ac:dyDescent="0.25">
      <c r="A205" s="286" t="s">
        <v>208</v>
      </c>
      <c r="B205" s="299"/>
      <c r="C205" s="300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302">
        <v>0.997</v>
      </c>
      <c r="AH205" s="226"/>
      <c r="AI205" s="227"/>
      <c r="AK205" s="228"/>
    </row>
    <row r="206" spans="1:37" x14ac:dyDescent="0.25">
      <c r="A206" s="286" t="s">
        <v>209</v>
      </c>
      <c r="B206" s="299"/>
      <c r="C206" s="300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302">
        <v>0.997</v>
      </c>
      <c r="AH206" s="226"/>
      <c r="AI206" s="227"/>
      <c r="AK206" s="228"/>
    </row>
    <row r="207" spans="1:37" x14ac:dyDescent="0.25">
      <c r="A207" s="286" t="s">
        <v>210</v>
      </c>
      <c r="B207" s="299"/>
      <c r="C207" s="300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  <c r="AB207" s="299"/>
      <c r="AC207" s="299"/>
      <c r="AD207" s="299"/>
      <c r="AE207" s="299"/>
      <c r="AF207" s="299"/>
      <c r="AG207" s="302">
        <v>0.996</v>
      </c>
      <c r="AH207" s="226"/>
      <c r="AI207" s="227"/>
      <c r="AK207" s="228"/>
    </row>
    <row r="208" spans="1:37" x14ac:dyDescent="0.25">
      <c r="A208" s="286" t="s">
        <v>211</v>
      </c>
      <c r="B208" s="299"/>
      <c r="C208" s="300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  <c r="AB208" s="299"/>
      <c r="AC208" s="299"/>
      <c r="AD208" s="299"/>
      <c r="AE208" s="299"/>
      <c r="AF208" s="299"/>
      <c r="AG208" s="302">
        <v>0.996</v>
      </c>
      <c r="AH208" s="226"/>
      <c r="AI208" s="227"/>
      <c r="AK208" s="228"/>
    </row>
    <row r="209" spans="1:37" x14ac:dyDescent="0.25">
      <c r="A209" s="286" t="s">
        <v>212</v>
      </c>
      <c r="B209" s="299"/>
      <c r="C209" s="300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302">
        <v>0.996</v>
      </c>
      <c r="AH209" s="226"/>
      <c r="AI209" s="227"/>
      <c r="AK209" s="228"/>
    </row>
    <row r="210" spans="1:37" x14ac:dyDescent="0.25">
      <c r="A210" s="286" t="s">
        <v>213</v>
      </c>
      <c r="B210" s="299"/>
      <c r="C210" s="300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302">
        <v>0.995</v>
      </c>
      <c r="AH210" s="226"/>
      <c r="AI210" s="227"/>
      <c r="AK210" s="228"/>
    </row>
    <row r="211" spans="1:37" x14ac:dyDescent="0.25">
      <c r="A211" s="286" t="s">
        <v>214</v>
      </c>
      <c r="B211" s="299"/>
      <c r="C211" s="300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302">
        <v>0.99299999999999999</v>
      </c>
      <c r="AH211" s="226"/>
      <c r="AI211" s="227"/>
      <c r="AK211" s="228"/>
    </row>
    <row r="212" spans="1:37" x14ac:dyDescent="0.25">
      <c r="A212" s="286" t="s">
        <v>215</v>
      </c>
      <c r="B212" s="299"/>
      <c r="C212" s="297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302">
        <v>0.99</v>
      </c>
      <c r="AH212" s="226"/>
      <c r="AI212" s="227"/>
      <c r="AK212" s="228"/>
    </row>
    <row r="213" spans="1:37" ht="15.75" thickBot="1" x14ac:dyDescent="0.3">
      <c r="A213" s="286" t="s">
        <v>216</v>
      </c>
      <c r="B213" s="303"/>
      <c r="C213" s="304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2">
        <v>0.97899999999999998</v>
      </c>
      <c r="AH213" s="226"/>
      <c r="AI213" s="227"/>
      <c r="AK213" s="228"/>
    </row>
    <row r="214" spans="1:37" ht="15.75" thickBot="1" x14ac:dyDescent="0.3">
      <c r="A214" s="305" t="s">
        <v>217</v>
      </c>
      <c r="B214" s="306">
        <f>SUM(B109:B213)</f>
        <v>0</v>
      </c>
      <c r="C214" s="307">
        <f t="shared" ref="C214:AG214" si="25">SUM(C109:C213)</f>
        <v>0</v>
      </c>
      <c r="D214" s="307">
        <f t="shared" si="25"/>
        <v>0</v>
      </c>
      <c r="E214" s="307">
        <f t="shared" si="25"/>
        <v>0</v>
      </c>
      <c r="F214" s="307">
        <f t="shared" si="25"/>
        <v>0</v>
      </c>
      <c r="G214" s="307">
        <f t="shared" si="25"/>
        <v>0</v>
      </c>
      <c r="H214" s="307">
        <f t="shared" si="25"/>
        <v>0</v>
      </c>
      <c r="I214" s="307">
        <f t="shared" si="25"/>
        <v>0</v>
      </c>
      <c r="J214" s="307">
        <f t="shared" si="25"/>
        <v>0</v>
      </c>
      <c r="K214" s="307">
        <f t="shared" si="25"/>
        <v>0</v>
      </c>
      <c r="L214" s="307">
        <f t="shared" si="25"/>
        <v>0</v>
      </c>
      <c r="M214" s="307">
        <f t="shared" si="25"/>
        <v>0</v>
      </c>
      <c r="N214" s="307">
        <f t="shared" si="25"/>
        <v>0</v>
      </c>
      <c r="O214" s="307">
        <f t="shared" si="25"/>
        <v>0</v>
      </c>
      <c r="P214" s="307">
        <f t="shared" si="25"/>
        <v>0</v>
      </c>
      <c r="Q214" s="307">
        <f t="shared" si="25"/>
        <v>0</v>
      </c>
      <c r="R214" s="307">
        <f t="shared" si="25"/>
        <v>0</v>
      </c>
      <c r="S214" s="307">
        <f t="shared" si="25"/>
        <v>0</v>
      </c>
      <c r="T214" s="307">
        <f t="shared" si="25"/>
        <v>0</v>
      </c>
      <c r="U214" s="307">
        <f t="shared" si="25"/>
        <v>0</v>
      </c>
      <c r="V214" s="307">
        <f t="shared" si="25"/>
        <v>0</v>
      </c>
      <c r="W214" s="307">
        <f t="shared" si="25"/>
        <v>0</v>
      </c>
      <c r="X214" s="307">
        <f t="shared" si="25"/>
        <v>0</v>
      </c>
      <c r="Y214" s="307">
        <f t="shared" si="25"/>
        <v>0</v>
      </c>
      <c r="Z214" s="307">
        <f t="shared" si="25"/>
        <v>0</v>
      </c>
      <c r="AA214" s="307">
        <f t="shared" si="25"/>
        <v>0</v>
      </c>
      <c r="AB214" s="307">
        <f t="shared" si="25"/>
        <v>0</v>
      </c>
      <c r="AC214" s="307">
        <f t="shared" si="25"/>
        <v>0</v>
      </c>
      <c r="AD214" s="307">
        <f t="shared" si="25"/>
        <v>0</v>
      </c>
      <c r="AE214" s="307">
        <f t="shared" si="25"/>
        <v>0</v>
      </c>
      <c r="AF214" s="308">
        <f t="shared" si="25"/>
        <v>0</v>
      </c>
      <c r="AG214" s="309">
        <f t="shared" si="25"/>
        <v>412.72299999999984</v>
      </c>
      <c r="AH214" s="226"/>
      <c r="AI214" s="227"/>
      <c r="AK214" s="228"/>
    </row>
    <row r="215" spans="1:37" ht="15.75" thickBot="1" x14ac:dyDescent="0.3">
      <c r="A215" s="201" t="s">
        <v>63</v>
      </c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10"/>
      <c r="AG215" s="311"/>
      <c r="AH215" s="226"/>
      <c r="AI215" s="227"/>
      <c r="AK215" s="228"/>
    </row>
    <row r="216" spans="1:37" x14ac:dyDescent="0.25">
      <c r="A216" s="268" t="s">
        <v>218</v>
      </c>
      <c r="B216" s="312">
        <f t="shared" ref="B216:B221" si="26">AF216</f>
        <v>0</v>
      </c>
      <c r="C216" s="312">
        <v>0.3</v>
      </c>
      <c r="D216" s="312">
        <f t="shared" ref="D216:P221" si="27">C216</f>
        <v>0.3</v>
      </c>
      <c r="E216" s="312">
        <f t="shared" si="27"/>
        <v>0.3</v>
      </c>
      <c r="F216" s="312">
        <f t="shared" si="27"/>
        <v>0.3</v>
      </c>
      <c r="G216" s="312">
        <f t="shared" si="27"/>
        <v>0.3</v>
      </c>
      <c r="H216" s="312">
        <f t="shared" si="27"/>
        <v>0.3</v>
      </c>
      <c r="I216" s="312">
        <f t="shared" si="27"/>
        <v>0.3</v>
      </c>
      <c r="J216" s="312">
        <f t="shared" si="27"/>
        <v>0.3</v>
      </c>
      <c r="K216" s="312">
        <f t="shared" si="27"/>
        <v>0.3</v>
      </c>
      <c r="L216" s="312">
        <f t="shared" si="27"/>
        <v>0.3</v>
      </c>
      <c r="M216" s="312">
        <f t="shared" si="27"/>
        <v>0.3</v>
      </c>
      <c r="N216" s="312">
        <f t="shared" si="27"/>
        <v>0.3</v>
      </c>
      <c r="O216" s="312">
        <f t="shared" si="27"/>
        <v>0.3</v>
      </c>
      <c r="P216" s="312">
        <f t="shared" si="27"/>
        <v>0.3</v>
      </c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3">
        <v>2.4</v>
      </c>
      <c r="AH216" s="226"/>
      <c r="AI216" s="227"/>
      <c r="AK216" s="228"/>
    </row>
    <row r="217" spans="1:37" x14ac:dyDescent="0.25">
      <c r="A217" s="271" t="s">
        <v>219</v>
      </c>
      <c r="B217" s="299">
        <f t="shared" si="26"/>
        <v>0</v>
      </c>
      <c r="C217" s="299">
        <v>0.4</v>
      </c>
      <c r="D217" s="299">
        <f t="shared" si="27"/>
        <v>0.4</v>
      </c>
      <c r="E217" s="299">
        <f t="shared" si="27"/>
        <v>0.4</v>
      </c>
      <c r="F217" s="299">
        <f t="shared" si="27"/>
        <v>0.4</v>
      </c>
      <c r="G217" s="299">
        <f t="shared" si="27"/>
        <v>0.4</v>
      </c>
      <c r="H217" s="299">
        <f t="shared" si="27"/>
        <v>0.4</v>
      </c>
      <c r="I217" s="299">
        <f t="shared" si="27"/>
        <v>0.4</v>
      </c>
      <c r="J217" s="299">
        <f t="shared" si="27"/>
        <v>0.4</v>
      </c>
      <c r="K217" s="299">
        <f t="shared" si="27"/>
        <v>0.4</v>
      </c>
      <c r="L217" s="299">
        <f t="shared" si="27"/>
        <v>0.4</v>
      </c>
      <c r="M217" s="299">
        <f t="shared" si="27"/>
        <v>0.4</v>
      </c>
      <c r="N217" s="299">
        <f t="shared" si="27"/>
        <v>0.4</v>
      </c>
      <c r="O217" s="299">
        <f t="shared" si="27"/>
        <v>0.4</v>
      </c>
      <c r="P217" s="299">
        <f t="shared" si="27"/>
        <v>0.4</v>
      </c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  <c r="AB217" s="299"/>
      <c r="AC217" s="299"/>
      <c r="AD217" s="299"/>
      <c r="AE217" s="299"/>
      <c r="AF217" s="299"/>
      <c r="AG217" s="314">
        <v>2</v>
      </c>
      <c r="AH217" s="226"/>
      <c r="AI217" s="227"/>
      <c r="AK217" s="228"/>
    </row>
    <row r="218" spans="1:37" x14ac:dyDescent="0.25">
      <c r="A218" s="271" t="s">
        <v>220</v>
      </c>
      <c r="B218" s="299">
        <f t="shared" si="26"/>
        <v>0</v>
      </c>
      <c r="C218" s="299">
        <v>1.5</v>
      </c>
      <c r="D218" s="299">
        <f t="shared" si="27"/>
        <v>1.5</v>
      </c>
      <c r="E218" s="299">
        <f t="shared" si="27"/>
        <v>1.5</v>
      </c>
      <c r="F218" s="299">
        <f t="shared" si="27"/>
        <v>1.5</v>
      </c>
      <c r="G218" s="299">
        <f t="shared" si="27"/>
        <v>1.5</v>
      </c>
      <c r="H218" s="299">
        <f t="shared" si="27"/>
        <v>1.5</v>
      </c>
      <c r="I218" s="299">
        <f t="shared" si="27"/>
        <v>1.5</v>
      </c>
      <c r="J218" s="299">
        <f t="shared" si="27"/>
        <v>1.5</v>
      </c>
      <c r="K218" s="299">
        <f t="shared" si="27"/>
        <v>1.5</v>
      </c>
      <c r="L218" s="299">
        <f t="shared" si="27"/>
        <v>1.5</v>
      </c>
      <c r="M218" s="299">
        <f t="shared" si="27"/>
        <v>1.5</v>
      </c>
      <c r="N218" s="299">
        <f t="shared" si="27"/>
        <v>1.5</v>
      </c>
      <c r="O218" s="299">
        <f t="shared" si="27"/>
        <v>1.5</v>
      </c>
      <c r="P218" s="299">
        <f t="shared" si="27"/>
        <v>1.5</v>
      </c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314">
        <v>1.5</v>
      </c>
      <c r="AH218" s="226"/>
      <c r="AI218" s="227"/>
      <c r="AK218" s="228"/>
    </row>
    <row r="219" spans="1:37" x14ac:dyDescent="0.25">
      <c r="A219" s="271" t="s">
        <v>221</v>
      </c>
      <c r="B219" s="299">
        <f t="shared" si="26"/>
        <v>0</v>
      </c>
      <c r="C219" s="299">
        <v>0.3</v>
      </c>
      <c r="D219" s="299">
        <f t="shared" si="27"/>
        <v>0.3</v>
      </c>
      <c r="E219" s="299">
        <f t="shared" si="27"/>
        <v>0.3</v>
      </c>
      <c r="F219" s="299">
        <f t="shared" si="27"/>
        <v>0.3</v>
      </c>
      <c r="G219" s="299">
        <f t="shared" si="27"/>
        <v>0.3</v>
      </c>
      <c r="H219" s="299">
        <f t="shared" si="27"/>
        <v>0.3</v>
      </c>
      <c r="I219" s="299">
        <f t="shared" si="27"/>
        <v>0.3</v>
      </c>
      <c r="J219" s="299">
        <f t="shared" si="27"/>
        <v>0.3</v>
      </c>
      <c r="K219" s="299">
        <f t="shared" si="27"/>
        <v>0.3</v>
      </c>
      <c r="L219" s="299">
        <f t="shared" si="27"/>
        <v>0.3</v>
      </c>
      <c r="M219" s="299">
        <f t="shared" si="27"/>
        <v>0.3</v>
      </c>
      <c r="N219" s="299">
        <f t="shared" si="27"/>
        <v>0.3</v>
      </c>
      <c r="O219" s="299">
        <f t="shared" si="27"/>
        <v>0.3</v>
      </c>
      <c r="P219" s="299">
        <f t="shared" si="27"/>
        <v>0.3</v>
      </c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  <c r="AB219" s="299"/>
      <c r="AC219" s="299"/>
      <c r="AD219" s="299"/>
      <c r="AE219" s="299"/>
      <c r="AF219" s="299"/>
      <c r="AG219" s="314">
        <v>1</v>
      </c>
      <c r="AH219" s="226"/>
      <c r="AI219" s="227"/>
      <c r="AK219" s="228"/>
    </row>
    <row r="220" spans="1:37" x14ac:dyDescent="0.25">
      <c r="A220" s="271" t="s">
        <v>222</v>
      </c>
      <c r="B220" s="299">
        <f t="shared" si="26"/>
        <v>0</v>
      </c>
      <c r="C220" s="299">
        <v>0.4</v>
      </c>
      <c r="D220" s="299">
        <f t="shared" si="27"/>
        <v>0.4</v>
      </c>
      <c r="E220" s="299">
        <f t="shared" si="27"/>
        <v>0.4</v>
      </c>
      <c r="F220" s="299">
        <f t="shared" si="27"/>
        <v>0.4</v>
      </c>
      <c r="G220" s="299">
        <f t="shared" si="27"/>
        <v>0.4</v>
      </c>
      <c r="H220" s="299">
        <f t="shared" si="27"/>
        <v>0.4</v>
      </c>
      <c r="I220" s="299">
        <f t="shared" si="27"/>
        <v>0.4</v>
      </c>
      <c r="J220" s="299">
        <f t="shared" si="27"/>
        <v>0.4</v>
      </c>
      <c r="K220" s="299">
        <f t="shared" si="27"/>
        <v>0.4</v>
      </c>
      <c r="L220" s="299">
        <f t="shared" si="27"/>
        <v>0.4</v>
      </c>
      <c r="M220" s="299">
        <f t="shared" si="27"/>
        <v>0.4</v>
      </c>
      <c r="N220" s="299">
        <f t="shared" si="27"/>
        <v>0.4</v>
      </c>
      <c r="O220" s="299">
        <f t="shared" si="27"/>
        <v>0.4</v>
      </c>
      <c r="P220" s="299">
        <f t="shared" si="27"/>
        <v>0.4</v>
      </c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  <c r="AB220" s="299"/>
      <c r="AC220" s="299"/>
      <c r="AD220" s="299"/>
      <c r="AE220" s="299"/>
      <c r="AF220" s="299"/>
      <c r="AG220" s="314">
        <v>1</v>
      </c>
      <c r="AH220" s="226"/>
      <c r="AI220" s="227"/>
      <c r="AK220" s="228"/>
    </row>
    <row r="221" spans="1:37" ht="15.75" thickBot="1" x14ac:dyDescent="0.3">
      <c r="A221" s="286" t="s">
        <v>223</v>
      </c>
      <c r="B221" s="303">
        <f t="shared" si="26"/>
        <v>0</v>
      </c>
      <c r="C221" s="303">
        <v>0.64</v>
      </c>
      <c r="D221" s="303">
        <f t="shared" si="27"/>
        <v>0.64</v>
      </c>
      <c r="E221" s="303">
        <f t="shared" si="27"/>
        <v>0.64</v>
      </c>
      <c r="F221" s="303">
        <f t="shared" si="27"/>
        <v>0.64</v>
      </c>
      <c r="G221" s="303">
        <f t="shared" si="27"/>
        <v>0.64</v>
      </c>
      <c r="H221" s="303">
        <f t="shared" si="27"/>
        <v>0.64</v>
      </c>
      <c r="I221" s="303">
        <f t="shared" si="27"/>
        <v>0.64</v>
      </c>
      <c r="J221" s="303">
        <f t="shared" si="27"/>
        <v>0.64</v>
      </c>
      <c r="K221" s="303">
        <f t="shared" si="27"/>
        <v>0.64</v>
      </c>
      <c r="L221" s="303">
        <f t="shared" si="27"/>
        <v>0.64</v>
      </c>
      <c r="M221" s="303">
        <f t="shared" si="27"/>
        <v>0.64</v>
      </c>
      <c r="N221" s="303">
        <f t="shared" si="27"/>
        <v>0.64</v>
      </c>
      <c r="O221" s="303">
        <f t="shared" si="27"/>
        <v>0.64</v>
      </c>
      <c r="P221" s="303">
        <f t="shared" si="27"/>
        <v>0.64</v>
      </c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15">
        <v>0.66</v>
      </c>
      <c r="AH221" s="226"/>
      <c r="AI221" s="227"/>
    </row>
    <row r="222" spans="1:37" ht="15.75" thickBot="1" x14ac:dyDescent="0.3">
      <c r="A222" s="316" t="s">
        <v>63</v>
      </c>
      <c r="B222" s="307">
        <f>SUM(B216:B221)</f>
        <v>0</v>
      </c>
      <c r="C222" s="307">
        <f>SUM(C216:C221)</f>
        <v>3.54</v>
      </c>
      <c r="D222" s="307">
        <f t="shared" ref="D222:L222" si="28">SUM(D216:D221)</f>
        <v>3.54</v>
      </c>
      <c r="E222" s="307">
        <f t="shared" si="28"/>
        <v>3.54</v>
      </c>
      <c r="F222" s="307">
        <f t="shared" si="28"/>
        <v>3.54</v>
      </c>
      <c r="G222" s="307">
        <f t="shared" si="28"/>
        <v>3.54</v>
      </c>
      <c r="H222" s="307">
        <f t="shared" si="28"/>
        <v>3.54</v>
      </c>
      <c r="I222" s="307">
        <f t="shared" si="28"/>
        <v>3.54</v>
      </c>
      <c r="J222" s="307">
        <f t="shared" si="28"/>
        <v>3.54</v>
      </c>
      <c r="K222" s="307">
        <f t="shared" si="28"/>
        <v>3.54</v>
      </c>
      <c r="L222" s="307">
        <f t="shared" si="28"/>
        <v>3.54</v>
      </c>
      <c r="M222" s="307">
        <f>SUM(M216:M221)</f>
        <v>3.54</v>
      </c>
      <c r="N222" s="307">
        <f t="shared" ref="N222:S222" si="29">SUM(N216:N221)</f>
        <v>3.54</v>
      </c>
      <c r="O222" s="307">
        <f t="shared" si="29"/>
        <v>3.54</v>
      </c>
      <c r="P222" s="307">
        <f t="shared" si="29"/>
        <v>3.54</v>
      </c>
      <c r="Q222" s="307">
        <f t="shared" si="29"/>
        <v>0</v>
      </c>
      <c r="R222" s="307">
        <f t="shared" si="29"/>
        <v>0</v>
      </c>
      <c r="S222" s="307">
        <f t="shared" si="29"/>
        <v>0</v>
      </c>
      <c r="T222" s="307">
        <f>SUM(T216:T221)</f>
        <v>0</v>
      </c>
      <c r="U222" s="307">
        <f t="shared" ref="U222:AG222" si="30">SUM(U216:U221)</f>
        <v>0</v>
      </c>
      <c r="V222" s="307">
        <f t="shared" si="30"/>
        <v>0</v>
      </c>
      <c r="W222" s="307">
        <f t="shared" si="30"/>
        <v>0</v>
      </c>
      <c r="X222" s="307">
        <f t="shared" si="30"/>
        <v>0</v>
      </c>
      <c r="Y222" s="307">
        <f t="shared" si="30"/>
        <v>0</v>
      </c>
      <c r="Z222" s="307">
        <f t="shared" si="30"/>
        <v>0</v>
      </c>
      <c r="AA222" s="307">
        <f t="shared" si="30"/>
        <v>0</v>
      </c>
      <c r="AB222" s="307">
        <f t="shared" si="30"/>
        <v>0</v>
      </c>
      <c r="AC222" s="307">
        <f t="shared" si="30"/>
        <v>0</v>
      </c>
      <c r="AD222" s="307">
        <f t="shared" si="30"/>
        <v>0</v>
      </c>
      <c r="AE222" s="307">
        <f t="shared" si="30"/>
        <v>0</v>
      </c>
      <c r="AF222" s="307">
        <f t="shared" si="30"/>
        <v>0</v>
      </c>
      <c r="AG222" s="317">
        <f t="shared" si="30"/>
        <v>8.56</v>
      </c>
      <c r="AH222" s="226"/>
      <c r="AI222" s="227"/>
    </row>
    <row r="223" spans="1:37" ht="15.75" thickBot="1" x14ac:dyDescent="0.3"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310"/>
      <c r="AH223" s="219"/>
    </row>
    <row r="224" spans="1:37" x14ac:dyDescent="0.25">
      <c r="A224" s="318" t="s">
        <v>224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20"/>
      <c r="AG224" s="219"/>
      <c r="AH224" s="226"/>
      <c r="AI224" s="227"/>
    </row>
    <row r="225" spans="1:50" x14ac:dyDescent="0.25">
      <c r="A225" s="321" t="s">
        <v>225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3"/>
      <c r="AG225" s="324"/>
      <c r="AH225" s="226"/>
      <c r="AI225" s="227"/>
    </row>
    <row r="226" spans="1:50" x14ac:dyDescent="0.25">
      <c r="A226" s="325" t="s">
        <v>226</v>
      </c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7"/>
      <c r="AG226" s="324"/>
      <c r="AH226" s="226"/>
      <c r="AI226" s="227"/>
    </row>
    <row r="227" spans="1:50" x14ac:dyDescent="0.25">
      <c r="A227" s="325" t="s">
        <v>227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7"/>
      <c r="AG227" s="324"/>
      <c r="AH227" s="226"/>
      <c r="AI227" s="227"/>
    </row>
    <row r="228" spans="1:50" ht="15.75" thickBot="1" x14ac:dyDescent="0.3">
      <c r="A228" s="328" t="s">
        <v>228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30"/>
      <c r="AG228" s="324"/>
      <c r="AH228" s="226"/>
      <c r="AI228" s="227"/>
    </row>
    <row r="229" spans="1:50" x14ac:dyDescent="0.25"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</row>
    <row r="230" spans="1:50" x14ac:dyDescent="0.25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</row>
    <row r="231" spans="1:50" x14ac:dyDescent="0.25">
      <c r="A231" s="331" t="s">
        <v>229</v>
      </c>
      <c r="B231" s="332">
        <f>MAX(G79:N79)</f>
        <v>3.54</v>
      </c>
      <c r="C231" s="333">
        <f>INDEX(G9:N9,1,MATCH(MAX(G79:N79),G79:N79,0))</f>
        <v>0.20833333333333301</v>
      </c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</row>
    <row r="232" spans="1:50" x14ac:dyDescent="0.25"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334" t="str">
        <f ca="1">MID(CELL("filename",C7),FIND("]",CELL("filename",C7))+1,600)</f>
        <v>Sample_new (2)</v>
      </c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</row>
    <row r="233" spans="1:50" x14ac:dyDescent="0.25">
      <c r="A233" s="402" t="s">
        <v>230</v>
      </c>
      <c r="B233" s="402"/>
      <c r="C233" s="219"/>
      <c r="D233" s="334" t="e">
        <f ca="1">"Pie Chart of Daily Peak Demand(Inclusive of Export) of Nepal ("&amp;A4&amp;" "&amp;B4&amp;")"</f>
        <v>#VALUE!</v>
      </c>
      <c r="E233" s="219"/>
      <c r="F233" s="219"/>
      <c r="G233" s="334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334" t="e">
        <f ca="1">"Daily Load Curve(Excluding of Export) of Nepal ("&amp;A4&amp;" "&amp;B4&amp;")"</f>
        <v>#VALUE!</v>
      </c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</row>
    <row r="234" spans="1:50" ht="12.75" customHeight="1" thickBot="1" x14ac:dyDescent="0.3">
      <c r="A234" s="335" t="s">
        <v>7</v>
      </c>
      <c r="B234" s="336"/>
      <c r="C234" s="219"/>
      <c r="D234" s="337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</row>
    <row r="235" spans="1:50" ht="15.75" thickTop="1" x14ac:dyDescent="0.25">
      <c r="A235" s="335" t="s">
        <v>231</v>
      </c>
      <c r="B235" s="336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338" t="s">
        <v>232</v>
      </c>
      <c r="T235" s="339">
        <v>0</v>
      </c>
      <c r="U235" s="340">
        <v>4.1666666666666664E-2</v>
      </c>
      <c r="V235" s="341">
        <v>8.3333333333333301E-2</v>
      </c>
      <c r="W235" s="341">
        <v>0.125</v>
      </c>
      <c r="X235" s="341">
        <v>0.16666666666666699</v>
      </c>
      <c r="Y235" s="341">
        <v>0.20833333333333301</v>
      </c>
      <c r="Z235" s="341">
        <v>0.22916666666666666</v>
      </c>
      <c r="AA235" s="341">
        <v>0.25</v>
      </c>
      <c r="AB235" s="341">
        <v>0.27083333333333331</v>
      </c>
      <c r="AC235" s="341">
        <v>0.29166666666666669</v>
      </c>
      <c r="AD235" s="341">
        <v>0.3125</v>
      </c>
      <c r="AE235" s="342">
        <v>0.33333333333333331</v>
      </c>
      <c r="AF235" s="342">
        <v>0.375</v>
      </c>
      <c r="AG235" s="342">
        <v>0.41666666666666702</v>
      </c>
      <c r="AH235" s="342">
        <v>0.45833333333333298</v>
      </c>
      <c r="AI235" s="342">
        <v>0.5</v>
      </c>
      <c r="AJ235" s="342">
        <v>0.54166666666666696</v>
      </c>
      <c r="AK235" s="342">
        <v>0.58333333333333304</v>
      </c>
      <c r="AL235" s="342">
        <v>0.625</v>
      </c>
      <c r="AM235" s="342">
        <v>0.66666666666666696</v>
      </c>
      <c r="AN235" s="342">
        <v>0.70833333333333304</v>
      </c>
      <c r="AO235" s="342">
        <v>0.72916666666666663</v>
      </c>
      <c r="AP235" s="342">
        <v>0.75</v>
      </c>
      <c r="AQ235" s="342">
        <v>0.77083333333333337</v>
      </c>
      <c r="AR235" s="342">
        <v>0.79166666666666663</v>
      </c>
      <c r="AS235" s="342">
        <v>0.8125</v>
      </c>
      <c r="AT235" s="341">
        <v>0.83333333333333337</v>
      </c>
      <c r="AU235" s="341">
        <v>0.85416666666666663</v>
      </c>
      <c r="AV235" s="341">
        <v>0.875</v>
      </c>
      <c r="AW235" s="341">
        <v>0.91666666666666696</v>
      </c>
      <c r="AX235" s="341">
        <v>0.95833333333333304</v>
      </c>
    </row>
    <row r="236" spans="1:50" x14ac:dyDescent="0.25">
      <c r="A236" s="335" t="s">
        <v>233</v>
      </c>
      <c r="B236" s="336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 t="s">
        <v>234</v>
      </c>
      <c r="T236" s="343">
        <f t="shared" ref="T236:AX236" si="31">B79</f>
        <v>3.54</v>
      </c>
      <c r="U236" s="343">
        <f t="shared" si="31"/>
        <v>3.54</v>
      </c>
      <c r="V236" s="343">
        <f t="shared" si="31"/>
        <v>3.54</v>
      </c>
      <c r="W236" s="343">
        <f t="shared" si="31"/>
        <v>3.54</v>
      </c>
      <c r="X236" s="343">
        <f t="shared" si="31"/>
        <v>3.54</v>
      </c>
      <c r="Y236" s="343">
        <f t="shared" si="31"/>
        <v>3.54</v>
      </c>
      <c r="Z236" s="343">
        <f t="shared" si="31"/>
        <v>3.54</v>
      </c>
      <c r="AA236" s="343">
        <f t="shared" si="31"/>
        <v>3.54</v>
      </c>
      <c r="AB236" s="343">
        <f t="shared" si="31"/>
        <v>3.54</v>
      </c>
      <c r="AC236" s="343">
        <f t="shared" si="31"/>
        <v>3.54</v>
      </c>
      <c r="AD236" s="343">
        <f t="shared" si="31"/>
        <v>3.54</v>
      </c>
      <c r="AE236" s="343">
        <f t="shared" si="31"/>
        <v>3.54</v>
      </c>
      <c r="AF236" s="343">
        <f t="shared" si="31"/>
        <v>3.54</v>
      </c>
      <c r="AG236" s="343">
        <f t="shared" si="31"/>
        <v>3.54</v>
      </c>
      <c r="AH236" s="343">
        <f t="shared" si="31"/>
        <v>3.54</v>
      </c>
      <c r="AI236" s="343">
        <f t="shared" si="31"/>
        <v>3.54</v>
      </c>
      <c r="AJ236" s="343">
        <f t="shared" si="31"/>
        <v>3.54</v>
      </c>
      <c r="AK236" s="343">
        <f t="shared" si="31"/>
        <v>3.54</v>
      </c>
      <c r="AL236" s="343">
        <f t="shared" si="31"/>
        <v>3.54</v>
      </c>
      <c r="AM236" s="343">
        <f t="shared" si="31"/>
        <v>3.54</v>
      </c>
      <c r="AN236" s="343">
        <f t="shared" si="31"/>
        <v>3.54</v>
      </c>
      <c r="AO236" s="343">
        <f t="shared" si="31"/>
        <v>3.54</v>
      </c>
      <c r="AP236" s="343">
        <f t="shared" si="31"/>
        <v>3.54</v>
      </c>
      <c r="AQ236" s="343">
        <f t="shared" si="31"/>
        <v>3.54</v>
      </c>
      <c r="AR236" s="343">
        <f t="shared" si="31"/>
        <v>3.54</v>
      </c>
      <c r="AS236" s="343">
        <f t="shared" si="31"/>
        <v>3.54</v>
      </c>
      <c r="AT236" s="343">
        <f t="shared" si="31"/>
        <v>3.54</v>
      </c>
      <c r="AU236" s="343">
        <f t="shared" si="31"/>
        <v>3.54</v>
      </c>
      <c r="AV236" s="343">
        <f t="shared" si="31"/>
        <v>3.54</v>
      </c>
      <c r="AW236" s="343">
        <f t="shared" si="31"/>
        <v>3.54</v>
      </c>
      <c r="AX236" s="343">
        <f t="shared" si="31"/>
        <v>3.54</v>
      </c>
    </row>
    <row r="237" spans="1:50" x14ac:dyDescent="0.25">
      <c r="A237" s="335" t="s">
        <v>235</v>
      </c>
      <c r="B237" s="336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</row>
    <row r="238" spans="1:50" x14ac:dyDescent="0.25">
      <c r="A238" s="335" t="s">
        <v>236</v>
      </c>
      <c r="B238" s="336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</row>
    <row r="239" spans="1:50" x14ac:dyDescent="0.25">
      <c r="A239" s="335" t="s">
        <v>237</v>
      </c>
      <c r="B239" s="336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</row>
    <row r="240" spans="1:50" x14ac:dyDescent="0.25">
      <c r="A240" s="335" t="s">
        <v>238</v>
      </c>
      <c r="B240" s="344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</row>
    <row r="241" spans="1:36" x14ac:dyDescent="0.25">
      <c r="A241" s="335" t="s">
        <v>239</v>
      </c>
      <c r="B241" s="336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</row>
    <row r="242" spans="1:36" x14ac:dyDescent="0.25"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</row>
    <row r="243" spans="1:36" x14ac:dyDescent="0.25"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</row>
    <row r="244" spans="1:36" x14ac:dyDescent="0.25"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</row>
    <row r="245" spans="1:36" x14ac:dyDescent="0.25"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</row>
    <row r="246" spans="1:36" x14ac:dyDescent="0.25"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</row>
    <row r="247" spans="1:36" x14ac:dyDescent="0.25"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</row>
    <row r="248" spans="1:36" x14ac:dyDescent="0.25"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J248" s="176"/>
    </row>
    <row r="249" spans="1:36" x14ac:dyDescent="0.25"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J249" s="176"/>
    </row>
    <row r="250" spans="1:36" x14ac:dyDescent="0.25"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J250" s="176"/>
    </row>
    <row r="251" spans="1:36" x14ac:dyDescent="0.25"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J251" s="176"/>
    </row>
    <row r="252" spans="1:36" x14ac:dyDescent="0.25"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J252" s="176"/>
    </row>
    <row r="253" spans="1:36" x14ac:dyDescent="0.25"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J253" s="176"/>
    </row>
    <row r="254" spans="1:36" x14ac:dyDescent="0.25"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J254" s="176"/>
    </row>
    <row r="255" spans="1:36" x14ac:dyDescent="0.25"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J255" s="176"/>
    </row>
    <row r="256" spans="1:36" x14ac:dyDescent="0.25"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J256" s="176"/>
    </row>
    <row r="257" spans="1:36" x14ac:dyDescent="0.25">
      <c r="A257" s="345" t="s">
        <v>224</v>
      </c>
      <c r="B257" s="346">
        <f t="shared" ref="B257:AE257" si="32">C221</f>
        <v>0.64</v>
      </c>
      <c r="C257" s="346">
        <f t="shared" si="32"/>
        <v>0.64</v>
      </c>
      <c r="D257" s="346">
        <f t="shared" si="32"/>
        <v>0.64</v>
      </c>
      <c r="E257" s="346">
        <f t="shared" si="32"/>
        <v>0.64</v>
      </c>
      <c r="F257" s="346">
        <f t="shared" si="32"/>
        <v>0.64</v>
      </c>
      <c r="G257" s="346">
        <f t="shared" si="32"/>
        <v>0.64</v>
      </c>
      <c r="H257" s="346">
        <f t="shared" si="32"/>
        <v>0.64</v>
      </c>
      <c r="I257" s="346">
        <f t="shared" si="32"/>
        <v>0.64</v>
      </c>
      <c r="J257" s="346">
        <f t="shared" si="32"/>
        <v>0.64</v>
      </c>
      <c r="K257" s="346">
        <f t="shared" si="32"/>
        <v>0.64</v>
      </c>
      <c r="L257" s="346">
        <f t="shared" si="32"/>
        <v>0.64</v>
      </c>
      <c r="M257" s="346">
        <f t="shared" si="32"/>
        <v>0.64</v>
      </c>
      <c r="N257" s="346">
        <f t="shared" si="32"/>
        <v>0.64</v>
      </c>
      <c r="O257" s="346">
        <f t="shared" si="32"/>
        <v>0.64</v>
      </c>
      <c r="P257" s="346">
        <f t="shared" si="32"/>
        <v>0</v>
      </c>
      <c r="Q257" s="346">
        <f t="shared" si="32"/>
        <v>0</v>
      </c>
      <c r="R257" s="346">
        <f t="shared" si="32"/>
        <v>0</v>
      </c>
      <c r="S257" s="346">
        <f t="shared" si="32"/>
        <v>0</v>
      </c>
      <c r="T257" s="346">
        <f t="shared" si="32"/>
        <v>0</v>
      </c>
      <c r="U257" s="346">
        <f t="shared" si="32"/>
        <v>0</v>
      </c>
      <c r="V257" s="346">
        <f t="shared" si="32"/>
        <v>0</v>
      </c>
      <c r="W257" s="346">
        <f t="shared" si="32"/>
        <v>0</v>
      </c>
      <c r="X257" s="346">
        <f t="shared" si="32"/>
        <v>0</v>
      </c>
      <c r="Y257" s="346">
        <f t="shared" si="32"/>
        <v>0</v>
      </c>
      <c r="Z257" s="346">
        <f t="shared" si="32"/>
        <v>0</v>
      </c>
      <c r="AA257" s="346">
        <f t="shared" si="32"/>
        <v>0</v>
      </c>
      <c r="AB257" s="346">
        <f t="shared" si="32"/>
        <v>0</v>
      </c>
      <c r="AC257" s="346">
        <f t="shared" si="32"/>
        <v>0</v>
      </c>
      <c r="AD257" s="346">
        <f t="shared" si="32"/>
        <v>0</v>
      </c>
      <c r="AE257" s="346">
        <f t="shared" si="32"/>
        <v>0</v>
      </c>
      <c r="AF257" s="346">
        <f>B221</f>
        <v>0</v>
      </c>
      <c r="AG257" s="219"/>
      <c r="AH257" s="219"/>
      <c r="AJ257" s="176"/>
    </row>
    <row r="258" spans="1:36" x14ac:dyDescent="0.25">
      <c r="A258" s="347" t="str">
        <f>A225</f>
        <v>KGA</v>
      </c>
      <c r="B258" s="347" t="str">
        <f>IF(B225&lt;100,"",B225-520)</f>
        <v/>
      </c>
      <c r="C258" s="347" t="str">
        <f t="shared" ref="C258:AF258" si="33">IF(C225&lt;100,"",C225-520)</f>
        <v/>
      </c>
      <c r="D258" s="347" t="str">
        <f t="shared" si="33"/>
        <v/>
      </c>
      <c r="E258" s="347" t="str">
        <f t="shared" si="33"/>
        <v/>
      </c>
      <c r="F258" s="347" t="str">
        <f t="shared" si="33"/>
        <v/>
      </c>
      <c r="G258" s="347" t="str">
        <f t="shared" si="33"/>
        <v/>
      </c>
      <c r="H258" s="347" t="str">
        <f t="shared" si="33"/>
        <v/>
      </c>
      <c r="I258" s="347" t="str">
        <f t="shared" si="33"/>
        <v/>
      </c>
      <c r="J258" s="347" t="str">
        <f t="shared" si="33"/>
        <v/>
      </c>
      <c r="K258" s="347" t="str">
        <f t="shared" si="33"/>
        <v/>
      </c>
      <c r="L258" s="347" t="str">
        <f t="shared" si="33"/>
        <v/>
      </c>
      <c r="M258" s="347" t="str">
        <f t="shared" si="33"/>
        <v/>
      </c>
      <c r="N258" s="347" t="str">
        <f t="shared" si="33"/>
        <v/>
      </c>
      <c r="O258" s="347" t="str">
        <f t="shared" si="33"/>
        <v/>
      </c>
      <c r="P258" s="347" t="str">
        <f t="shared" si="33"/>
        <v/>
      </c>
      <c r="Q258" s="347" t="str">
        <f t="shared" si="33"/>
        <v/>
      </c>
      <c r="R258" s="347" t="str">
        <f t="shared" si="33"/>
        <v/>
      </c>
      <c r="S258" s="347" t="str">
        <f t="shared" si="33"/>
        <v/>
      </c>
      <c r="T258" s="347" t="str">
        <f t="shared" si="33"/>
        <v/>
      </c>
      <c r="U258" s="347" t="str">
        <f t="shared" si="33"/>
        <v/>
      </c>
      <c r="V258" s="347" t="str">
        <f t="shared" si="33"/>
        <v/>
      </c>
      <c r="W258" s="347" t="str">
        <f t="shared" si="33"/>
        <v/>
      </c>
      <c r="X258" s="347" t="str">
        <f t="shared" si="33"/>
        <v/>
      </c>
      <c r="Y258" s="347" t="str">
        <f t="shared" si="33"/>
        <v/>
      </c>
      <c r="Z258" s="347" t="str">
        <f t="shared" si="33"/>
        <v/>
      </c>
      <c r="AA258" s="347" t="str">
        <f t="shared" si="33"/>
        <v/>
      </c>
      <c r="AB258" s="347" t="str">
        <f t="shared" si="33"/>
        <v/>
      </c>
      <c r="AC258" s="347" t="str">
        <f t="shared" si="33"/>
        <v/>
      </c>
      <c r="AD258" s="347" t="str">
        <f t="shared" si="33"/>
        <v/>
      </c>
      <c r="AE258" s="347" t="str">
        <f t="shared" si="33"/>
        <v/>
      </c>
      <c r="AF258" s="347" t="str">
        <f t="shared" si="33"/>
        <v/>
      </c>
      <c r="AG258" s="219"/>
      <c r="AH258" s="219"/>
      <c r="AJ258" s="176"/>
    </row>
    <row r="259" spans="1:36" x14ac:dyDescent="0.25">
      <c r="A259" s="347" t="str">
        <f>A226</f>
        <v>MMRS</v>
      </c>
      <c r="B259" s="347" t="str">
        <f t="shared" ref="B259:AF259" si="34">IF(B226&lt;100,"",B226-620)</f>
        <v/>
      </c>
      <c r="C259" s="347" t="str">
        <f t="shared" si="34"/>
        <v/>
      </c>
      <c r="D259" s="347" t="str">
        <f t="shared" si="34"/>
        <v/>
      </c>
      <c r="E259" s="347" t="str">
        <f t="shared" si="34"/>
        <v/>
      </c>
      <c r="F259" s="347" t="str">
        <f t="shared" si="34"/>
        <v/>
      </c>
      <c r="G259" s="347" t="str">
        <f t="shared" si="34"/>
        <v/>
      </c>
      <c r="H259" s="347" t="str">
        <f t="shared" si="34"/>
        <v/>
      </c>
      <c r="I259" s="347" t="str">
        <f t="shared" si="34"/>
        <v/>
      </c>
      <c r="J259" s="347" t="str">
        <f t="shared" si="34"/>
        <v/>
      </c>
      <c r="K259" s="347" t="str">
        <f t="shared" si="34"/>
        <v/>
      </c>
      <c r="L259" s="347" t="str">
        <f t="shared" si="34"/>
        <v/>
      </c>
      <c r="M259" s="347" t="str">
        <f t="shared" si="34"/>
        <v/>
      </c>
      <c r="N259" s="347" t="str">
        <f t="shared" si="34"/>
        <v/>
      </c>
      <c r="O259" s="347" t="str">
        <f t="shared" si="34"/>
        <v/>
      </c>
      <c r="P259" s="347" t="str">
        <f t="shared" si="34"/>
        <v/>
      </c>
      <c r="Q259" s="347" t="str">
        <f t="shared" si="34"/>
        <v/>
      </c>
      <c r="R259" s="347" t="str">
        <f t="shared" si="34"/>
        <v/>
      </c>
      <c r="S259" s="347" t="str">
        <f t="shared" si="34"/>
        <v/>
      </c>
      <c r="T259" s="347" t="str">
        <f t="shared" si="34"/>
        <v/>
      </c>
      <c r="U259" s="347" t="str">
        <f t="shared" si="34"/>
        <v/>
      </c>
      <c r="V259" s="347" t="str">
        <f t="shared" si="34"/>
        <v/>
      </c>
      <c r="W259" s="347" t="str">
        <f t="shared" si="34"/>
        <v/>
      </c>
      <c r="X259" s="347" t="str">
        <f t="shared" si="34"/>
        <v/>
      </c>
      <c r="Y259" s="347" t="str">
        <f t="shared" si="34"/>
        <v/>
      </c>
      <c r="Z259" s="347" t="str">
        <f t="shared" si="34"/>
        <v/>
      </c>
      <c r="AA259" s="347" t="str">
        <f t="shared" si="34"/>
        <v/>
      </c>
      <c r="AB259" s="347" t="str">
        <f t="shared" si="34"/>
        <v/>
      </c>
      <c r="AC259" s="347" t="str">
        <f t="shared" si="34"/>
        <v/>
      </c>
      <c r="AD259" s="347" t="str">
        <f t="shared" si="34"/>
        <v/>
      </c>
      <c r="AE259" s="347" t="str">
        <f t="shared" si="34"/>
        <v/>
      </c>
      <c r="AF259" s="347" t="str">
        <f t="shared" si="34"/>
        <v/>
      </c>
      <c r="AG259" s="219"/>
      <c r="AH259" s="219"/>
      <c r="AJ259" s="176"/>
    </row>
    <row r="260" spans="1:36" x14ac:dyDescent="0.25">
      <c r="A260" s="347" t="str">
        <f>A227</f>
        <v>MRS</v>
      </c>
      <c r="B260" s="347" t="str">
        <f t="shared" ref="B260:AF260" si="35">IF(B227&lt;100,"",B227-330)</f>
        <v/>
      </c>
      <c r="C260" s="347" t="str">
        <f t="shared" si="35"/>
        <v/>
      </c>
      <c r="D260" s="347" t="str">
        <f t="shared" si="35"/>
        <v/>
      </c>
      <c r="E260" s="347" t="str">
        <f t="shared" si="35"/>
        <v/>
      </c>
      <c r="F260" s="347" t="str">
        <f t="shared" si="35"/>
        <v/>
      </c>
      <c r="G260" s="347" t="str">
        <f t="shared" si="35"/>
        <v/>
      </c>
      <c r="H260" s="347" t="str">
        <f t="shared" si="35"/>
        <v/>
      </c>
      <c r="I260" s="347" t="str">
        <f t="shared" si="35"/>
        <v/>
      </c>
      <c r="J260" s="347" t="str">
        <f t="shared" si="35"/>
        <v/>
      </c>
      <c r="K260" s="347" t="str">
        <f t="shared" si="35"/>
        <v/>
      </c>
      <c r="L260" s="347" t="str">
        <f t="shared" si="35"/>
        <v/>
      </c>
      <c r="M260" s="347" t="str">
        <f t="shared" si="35"/>
        <v/>
      </c>
      <c r="N260" s="347" t="str">
        <f t="shared" si="35"/>
        <v/>
      </c>
      <c r="O260" s="347" t="str">
        <f t="shared" si="35"/>
        <v/>
      </c>
      <c r="P260" s="347" t="str">
        <f t="shared" si="35"/>
        <v/>
      </c>
      <c r="Q260" s="347" t="str">
        <f t="shared" si="35"/>
        <v/>
      </c>
      <c r="R260" s="347" t="str">
        <f t="shared" si="35"/>
        <v/>
      </c>
      <c r="S260" s="347" t="str">
        <f t="shared" si="35"/>
        <v/>
      </c>
      <c r="T260" s="347" t="str">
        <f t="shared" si="35"/>
        <v/>
      </c>
      <c r="U260" s="347" t="str">
        <f t="shared" si="35"/>
        <v/>
      </c>
      <c r="V260" s="347" t="str">
        <f t="shared" si="35"/>
        <v/>
      </c>
      <c r="W260" s="347" t="str">
        <f t="shared" si="35"/>
        <v/>
      </c>
      <c r="X260" s="347" t="str">
        <f t="shared" si="35"/>
        <v/>
      </c>
      <c r="Y260" s="347" t="str">
        <f t="shared" si="35"/>
        <v/>
      </c>
      <c r="Z260" s="347" t="str">
        <f t="shared" si="35"/>
        <v/>
      </c>
      <c r="AA260" s="347" t="str">
        <f t="shared" si="35"/>
        <v/>
      </c>
      <c r="AB260" s="347" t="str">
        <f t="shared" si="35"/>
        <v/>
      </c>
      <c r="AC260" s="347" t="str">
        <f t="shared" si="35"/>
        <v/>
      </c>
      <c r="AD260" s="347" t="str">
        <f t="shared" si="35"/>
        <v/>
      </c>
      <c r="AE260" s="347" t="str">
        <f t="shared" si="35"/>
        <v/>
      </c>
      <c r="AF260" s="347" t="str">
        <f t="shared" si="35"/>
        <v/>
      </c>
      <c r="AG260" s="219"/>
      <c r="AH260" s="219"/>
      <c r="AJ260" s="176"/>
    </row>
    <row r="261" spans="1:36" x14ac:dyDescent="0.25">
      <c r="A261" s="347" t="str">
        <f>A228</f>
        <v>KL 1</v>
      </c>
      <c r="B261" s="347" t="str">
        <f>IF(B228&lt;100,"",B228-1500)</f>
        <v/>
      </c>
      <c r="C261" s="347" t="str">
        <f t="shared" ref="C261:AF261" si="36">IF(C228&lt;100,"",C228-1500)</f>
        <v/>
      </c>
      <c r="D261" s="347" t="str">
        <f t="shared" si="36"/>
        <v/>
      </c>
      <c r="E261" s="347" t="str">
        <f t="shared" si="36"/>
        <v/>
      </c>
      <c r="F261" s="347" t="str">
        <f t="shared" si="36"/>
        <v/>
      </c>
      <c r="G261" s="347" t="str">
        <f t="shared" si="36"/>
        <v/>
      </c>
      <c r="H261" s="347" t="str">
        <f t="shared" si="36"/>
        <v/>
      </c>
      <c r="I261" s="347" t="str">
        <f t="shared" si="36"/>
        <v/>
      </c>
      <c r="J261" s="347" t="str">
        <f t="shared" si="36"/>
        <v/>
      </c>
      <c r="K261" s="347" t="str">
        <f t="shared" si="36"/>
        <v/>
      </c>
      <c r="L261" s="347" t="str">
        <f t="shared" si="36"/>
        <v/>
      </c>
      <c r="M261" s="347" t="str">
        <f t="shared" si="36"/>
        <v/>
      </c>
      <c r="N261" s="347" t="str">
        <f t="shared" si="36"/>
        <v/>
      </c>
      <c r="O261" s="347" t="str">
        <f t="shared" si="36"/>
        <v/>
      </c>
      <c r="P261" s="347" t="str">
        <f t="shared" si="36"/>
        <v/>
      </c>
      <c r="Q261" s="347" t="str">
        <f t="shared" si="36"/>
        <v/>
      </c>
      <c r="R261" s="347" t="str">
        <f t="shared" si="36"/>
        <v/>
      </c>
      <c r="S261" s="347" t="str">
        <f t="shared" si="36"/>
        <v/>
      </c>
      <c r="T261" s="347" t="str">
        <f t="shared" si="36"/>
        <v/>
      </c>
      <c r="U261" s="347" t="str">
        <f t="shared" si="36"/>
        <v/>
      </c>
      <c r="V261" s="347" t="str">
        <f t="shared" si="36"/>
        <v/>
      </c>
      <c r="W261" s="347" t="str">
        <f t="shared" si="36"/>
        <v/>
      </c>
      <c r="X261" s="347" t="str">
        <f t="shared" si="36"/>
        <v/>
      </c>
      <c r="Y261" s="347" t="str">
        <f t="shared" si="36"/>
        <v/>
      </c>
      <c r="Z261" s="347" t="str">
        <f t="shared" si="36"/>
        <v/>
      </c>
      <c r="AA261" s="347" t="str">
        <f t="shared" si="36"/>
        <v/>
      </c>
      <c r="AB261" s="347" t="str">
        <f t="shared" si="36"/>
        <v/>
      </c>
      <c r="AC261" s="347" t="str">
        <f t="shared" si="36"/>
        <v/>
      </c>
      <c r="AD261" s="347" t="str">
        <f t="shared" si="36"/>
        <v/>
      </c>
      <c r="AE261" s="347" t="str">
        <f t="shared" si="36"/>
        <v/>
      </c>
      <c r="AF261" s="347" t="str">
        <f t="shared" si="36"/>
        <v/>
      </c>
      <c r="AG261" s="219"/>
      <c r="AH261" s="219"/>
      <c r="AJ261" s="176"/>
    </row>
    <row r="262" spans="1:36" x14ac:dyDescent="0.25"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J262" s="176"/>
    </row>
    <row r="263" spans="1:36" x14ac:dyDescent="0.25"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J263" s="176"/>
    </row>
    <row r="264" spans="1:36" x14ac:dyDescent="0.25"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J264" s="176"/>
    </row>
    <row r="265" spans="1:36" x14ac:dyDescent="0.25"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J265" s="176"/>
    </row>
    <row r="266" spans="1:36" x14ac:dyDescent="0.25"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J266" s="176"/>
    </row>
    <row r="267" spans="1:36" x14ac:dyDescent="0.25"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J267" s="176"/>
    </row>
    <row r="268" spans="1:36" x14ac:dyDescent="0.25"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J268" s="176"/>
    </row>
    <row r="492" spans="36:38" x14ac:dyDescent="0.25">
      <c r="AK492" s="175"/>
    </row>
    <row r="493" spans="36:38" x14ac:dyDescent="0.25">
      <c r="AK493" s="175"/>
      <c r="AL493" s="175"/>
    </row>
    <row r="494" spans="36:38" x14ac:dyDescent="0.25">
      <c r="AJ494" s="176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D216:AF222 B216:B222 B214:AF214 U235:AF235 C99:AF99 T11:AF11 B9:AF10 C101:AF106">
    <cfRule type="expression" dxfId="256" priority="252">
      <formula>B$9&gt;=20/24</formula>
    </cfRule>
    <cfRule type="expression" dxfId="255" priority="253">
      <formula>AND(B$9&gt;=14/24,B$9&lt;20/24)</formula>
    </cfRule>
    <cfRule type="expression" dxfId="254" priority="254">
      <formula>AND(B$9&gt;=8/24,B$9&lt;14/24)</formula>
    </cfRule>
    <cfRule type="expression" dxfId="253" priority="255">
      <formula>B$9&lt;8/24</formula>
    </cfRule>
  </conditionalFormatting>
  <conditionalFormatting sqref="AL4:AL6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52" priority="247">
      <formula>S$9&gt;=20/24</formula>
    </cfRule>
    <cfRule type="expression" dxfId="251" priority="248">
      <formula>AND(S$9&gt;=14/24,S$9&lt;20/24)</formula>
    </cfRule>
    <cfRule type="expression" dxfId="250" priority="249">
      <formula>AND(S$9&gt;=8/24,S$9&lt;14/24)</formula>
    </cfRule>
    <cfRule type="expression" dxfId="249" priority="250">
      <formula>S$9&lt;8/24</formula>
    </cfRule>
  </conditionalFormatting>
  <conditionalFormatting sqref="AG55 S37:AF37 J11:AF11 O12:AF16 C11:D16 E16:N16 B12:B16 B35:AF35">
    <cfRule type="expression" dxfId="248" priority="246">
      <formula>B11&gt;$AG11</formula>
    </cfRule>
  </conditionalFormatting>
  <conditionalFormatting sqref="A89:A99 A11:A14 A49:A76 A85:A87 A192:A222 A16:A30 A36:A47 A108:A179 A32:A33 A81:A83 A78:A79 A101:A103">
    <cfRule type="expression" dxfId="247" priority="245">
      <formula>$AH11=0</formula>
    </cfRule>
  </conditionalFormatting>
  <conditionalFormatting sqref="A104">
    <cfRule type="expression" dxfId="246" priority="244">
      <formula>$AH104=0</formula>
    </cfRule>
  </conditionalFormatting>
  <conditionalFormatting sqref="AL3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245" priority="242">
      <formula>$AH35=0</formula>
    </cfRule>
  </conditionalFormatting>
  <conditionalFormatting sqref="A88">
    <cfRule type="expression" dxfId="244" priority="241">
      <formula>$AH88=0</formula>
    </cfRule>
  </conditionalFormatting>
  <conditionalFormatting sqref="A15">
    <cfRule type="expression" dxfId="243" priority="240">
      <formula>$AH15=0</formula>
    </cfRule>
  </conditionalFormatting>
  <conditionalFormatting sqref="A186:A191">
    <cfRule type="expression" dxfId="242" priority="239">
      <formula>$AH186=0</formula>
    </cfRule>
  </conditionalFormatting>
  <conditionalFormatting sqref="A180:A185">
    <cfRule type="expression" dxfId="241" priority="238">
      <formula>$AH180=0</formula>
    </cfRule>
  </conditionalFormatting>
  <conditionalFormatting sqref="A48">
    <cfRule type="expression" dxfId="240" priority="237">
      <formula>$AH48=0</formula>
    </cfRule>
  </conditionalFormatting>
  <conditionalFormatting sqref="A84">
    <cfRule type="expression" dxfId="239" priority="236">
      <formula>$AH84=0</formula>
    </cfRule>
  </conditionalFormatting>
  <conditionalFormatting sqref="C89:AF89">
    <cfRule type="expression" dxfId="238" priority="232">
      <formula>C$9&gt;=20/24</formula>
    </cfRule>
    <cfRule type="expression" dxfId="237" priority="233">
      <formula>AND(C$9&gt;=14/24,C$9&lt;20/24)</formula>
    </cfRule>
    <cfRule type="expression" dxfId="236" priority="234">
      <formula>AND(C$9&gt;=8/24,C$9&lt;14/24)</formula>
    </cfRule>
    <cfRule type="expression" dxfId="235" priority="235">
      <formula>C$9&lt;8/24</formula>
    </cfRule>
  </conditionalFormatting>
  <conditionalFormatting sqref="AL34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4" priority="258">
      <formula>C$9&gt;=20/24</formula>
    </cfRule>
    <cfRule type="expression" dxfId="233" priority="259">
      <formula>AND(C$9&gt;=14/24,C$9&lt;20/24)</formula>
    </cfRule>
    <cfRule type="expression" dxfId="232" priority="260">
      <formula>AND(C$9&gt;=8/24,C$9&lt;14/24)</formula>
    </cfRule>
    <cfRule type="expression" dxfId="231" priority="261">
      <formula>C$9&lt;8/24</formula>
    </cfRule>
  </conditionalFormatting>
  <conditionalFormatting sqref="A223">
    <cfRule type="expression" dxfId="230" priority="262">
      <formula>$AH223=0</formula>
    </cfRule>
  </conditionalFormatting>
  <conditionalFormatting sqref="AG235">
    <cfRule type="expression" dxfId="229" priority="263">
      <formula>B$9&gt;=20/24</formula>
    </cfRule>
    <cfRule type="expression" dxfId="228" priority="264">
      <formula>AND(B$9&gt;=14/24,B$9&lt;20/24)</formula>
    </cfRule>
    <cfRule type="expression" dxfId="227" priority="265">
      <formula>AND(B$9&gt;=8/24,B$9&lt;14/24)</formula>
    </cfRule>
    <cfRule type="expression" dxfId="226" priority="266">
      <formula>B$9&lt;8/24</formula>
    </cfRule>
  </conditionalFormatting>
  <conditionalFormatting sqref="S8">
    <cfRule type="expression" dxfId="225" priority="227">
      <formula>U$9&gt;=20/24</formula>
    </cfRule>
    <cfRule type="expression" dxfId="224" priority="228">
      <formula>AND(U$9&gt;=14/24,U$9&lt;20/24)</formula>
    </cfRule>
    <cfRule type="expression" dxfId="223" priority="229">
      <formula>AND(U$9&gt;=8/24,U$9&lt;14/24)</formula>
    </cfRule>
    <cfRule type="expression" dxfId="222" priority="230">
      <formula>U$9&lt;8/24</formula>
    </cfRule>
  </conditionalFormatting>
  <conditionalFormatting sqref="AB8">
    <cfRule type="expression" dxfId="221" priority="223">
      <formula>AD$9&gt;=20/24</formula>
    </cfRule>
    <cfRule type="expression" dxfId="220" priority="224">
      <formula>AND(AD$9&gt;=14/24,AD$9&lt;20/24)</formula>
    </cfRule>
    <cfRule type="expression" dxfId="219" priority="225">
      <formula>AND(AD$9&gt;=8/24,AD$9&lt;14/24)</formula>
    </cfRule>
    <cfRule type="expression" dxfId="218" priority="226">
      <formula>AD$9&lt;8/24</formula>
    </cfRule>
  </conditionalFormatting>
  <conditionalFormatting sqref="AH235:AX235">
    <cfRule type="expression" dxfId="217" priority="267">
      <formula>AG$9&gt;=20/24</formula>
    </cfRule>
    <cfRule type="expression" dxfId="216" priority="268">
      <formula>AND(AG$9&gt;=14/24,AG$9&lt;20/24)</formula>
    </cfRule>
    <cfRule type="expression" dxfId="215" priority="269">
      <formula>AND(AG$9&gt;=8/24,AG$9&lt;14/24)</formula>
    </cfRule>
    <cfRule type="expression" dxfId="214" priority="270">
      <formula>AG$9&lt;8/24</formula>
    </cfRule>
  </conditionalFormatting>
  <conditionalFormatting sqref="T235">
    <cfRule type="expression" dxfId="213" priority="271">
      <formula>AX$9&gt;=20/24</formula>
    </cfRule>
    <cfRule type="expression" dxfId="212" priority="272">
      <formula>AND(AX$9&gt;=14/24,AX$9&lt;20/24)</formula>
    </cfRule>
    <cfRule type="expression" dxfId="211" priority="273">
      <formula>AND(AX$9&gt;=8/24,AX$9&lt;14/24)</formula>
    </cfRule>
    <cfRule type="expression" dxfId="210" priority="274">
      <formula>AX$9&lt;8/24</formula>
    </cfRule>
  </conditionalFormatting>
  <conditionalFormatting sqref="A105:A106">
    <cfRule type="expression" dxfId="209" priority="222">
      <formula>$AH105=0</formula>
    </cfRule>
  </conditionalFormatting>
  <conditionalFormatting sqref="E11:I11 E44:L45 S44:W45 Y44:AF45 Z36:AF36 C61:AF61">
    <cfRule type="expression" dxfId="208" priority="218">
      <formula>C$9&gt;=20/24</formula>
    </cfRule>
    <cfRule type="expression" dxfId="207" priority="219">
      <formula>AND(C$9&gt;=14/24,C$9&lt;20/24)</formula>
    </cfRule>
    <cfRule type="expression" dxfId="206" priority="220">
      <formula>AND(C$9&gt;=8/24,C$9&lt;14/24)</formula>
    </cfRule>
    <cfRule type="expression" dxfId="205" priority="221">
      <formula>C$9&lt;8/24</formula>
    </cfRule>
  </conditionalFormatting>
  <conditionalFormatting sqref="E43:L43 S43:W43 Y43:AF43">
    <cfRule type="expression" dxfId="204" priority="214">
      <formula>E$9&gt;=20/24</formula>
    </cfRule>
    <cfRule type="expression" dxfId="203" priority="215">
      <formula>AND(E$9&gt;=14/24,E$9&lt;20/24)</formula>
    </cfRule>
    <cfRule type="expression" dxfId="202" priority="216">
      <formula>AND(E$9&gt;=8/24,E$9&lt;14/24)</formula>
    </cfRule>
    <cfRule type="expression" dxfId="201" priority="217">
      <formula>E$9&lt;8/24</formula>
    </cfRule>
  </conditionalFormatting>
  <conditionalFormatting sqref="E11:I11 E43:L45 S43:W45 Y43:AF45 Z36:AF36">
    <cfRule type="expression" dxfId="200" priority="213">
      <formula>E11&gt;$AG11</formula>
    </cfRule>
  </conditionalFormatting>
  <conditionalFormatting sqref="M11:R11 C36:Y36 C86:AF86 C62:AE63 C73:AF76 M68:M70 C71:M71 C66:M67 N66:O71 C65:O65 P65:W71 C64:W64 C90:AF96 X64:AE71 E12:AF14 M16:AF16 M18:AF22 M24:AF26 C57:AF59 AF62:AF71 M37:R37 M28:AF32">
    <cfRule type="expression" dxfId="199" priority="209">
      <formula>C$9&gt;=20/24</formula>
    </cfRule>
    <cfRule type="expression" dxfId="198" priority="210">
      <formula>AND(C$9&gt;=14/24,C$9&lt;20/24)</formula>
    </cfRule>
    <cfRule type="expression" dxfId="197" priority="211">
      <formula>AND(C$9&gt;=8/24,C$9&lt;14/24)</formula>
    </cfRule>
    <cfRule type="expression" dxfId="196" priority="212">
      <formula>C$9&lt;8/24</formula>
    </cfRule>
  </conditionalFormatting>
  <conditionalFormatting sqref="M33:AF33">
    <cfRule type="expression" dxfId="195" priority="205">
      <formula>M$9&gt;=20/24</formula>
    </cfRule>
    <cfRule type="expression" dxfId="194" priority="206">
      <formula>AND(M$9&gt;=14/24,M$9&lt;20/24)</formula>
    </cfRule>
    <cfRule type="expression" dxfId="193" priority="207">
      <formula>AND(M$9&gt;=8/24,M$9&lt;14/24)</formula>
    </cfRule>
    <cfRule type="expression" dxfId="192" priority="208">
      <formula>M$9&lt;8/24</formula>
    </cfRule>
  </conditionalFormatting>
  <conditionalFormatting sqref="E46:G47 M11:R11 C36:Y36 F48:G48 E12:N15 H46:L48 AB46:AF47 M18:AF22 C55:AF55 C57:AF59 C37:R37 M24:AF33">
    <cfRule type="expression" dxfId="191" priority="204">
      <formula>C11&gt;$AG11</formula>
    </cfRule>
  </conditionalFormatting>
  <conditionalFormatting sqref="M35:AF35">
    <cfRule type="expression" dxfId="190" priority="200">
      <formula>M$9&gt;=20/24</formula>
    </cfRule>
    <cfRule type="expression" dxfId="189" priority="201">
      <formula>AND(M$9&gt;=14/24,M$9&lt;20/24)</formula>
    </cfRule>
    <cfRule type="expression" dxfId="188" priority="202">
      <formula>AND(M$9&gt;=8/24,M$9&lt;14/24)</formula>
    </cfRule>
    <cfRule type="expression" dxfId="187" priority="203">
      <formula>M$9&lt;8/24</formula>
    </cfRule>
  </conditionalFormatting>
  <conditionalFormatting sqref="E15:AF15">
    <cfRule type="expression" dxfId="186" priority="196">
      <formula>E$9&gt;=20/24</formula>
    </cfRule>
    <cfRule type="expression" dxfId="185" priority="197">
      <formula>AND(E$9&gt;=14/24,E$9&lt;20/24)</formula>
    </cfRule>
    <cfRule type="expression" dxfId="184" priority="198">
      <formula>AND(E$9&gt;=8/24,E$9&lt;14/24)</formula>
    </cfRule>
    <cfRule type="expression" dxfId="183" priority="199">
      <formula>E$9&lt;8/24</formula>
    </cfRule>
  </conditionalFormatting>
  <conditionalFormatting sqref="M34:AF34">
    <cfRule type="expression" dxfId="182" priority="192">
      <formula>M$9&gt;=20/24</formula>
    </cfRule>
    <cfRule type="expression" dxfId="181" priority="193">
      <formula>AND(M$9&gt;=14/24,M$9&lt;20/24)</formula>
    </cfRule>
    <cfRule type="expression" dxfId="180" priority="194">
      <formula>AND(M$9&gt;=8/24,M$9&lt;14/24)</formula>
    </cfRule>
    <cfRule type="expression" dxfId="179" priority="195">
      <formula>M$9&lt;8/24</formula>
    </cfRule>
  </conditionalFormatting>
  <conditionalFormatting sqref="M34:AF34">
    <cfRule type="expression" dxfId="178" priority="191">
      <formula>M34&gt;$AG34</formula>
    </cfRule>
  </conditionalFormatting>
  <conditionalFormatting sqref="S11">
    <cfRule type="expression" dxfId="177" priority="187">
      <formula>S$9&gt;=20/24</formula>
    </cfRule>
    <cfRule type="expression" dxfId="176" priority="188">
      <formula>AND(S$9&gt;=14/24,S$9&lt;20/24)</formula>
    </cfRule>
    <cfRule type="expression" dxfId="175" priority="189">
      <formula>AND(S$9&gt;=8/24,S$9&lt;14/24)</formula>
    </cfRule>
    <cfRule type="expression" dxfId="174" priority="190">
      <formula>S$9&lt;8/24</formula>
    </cfRule>
  </conditionalFormatting>
  <conditionalFormatting sqref="V46:AA47 AB48:AF54">
    <cfRule type="expression" dxfId="173" priority="183">
      <formula>V$9&gt;=20/24</formula>
    </cfRule>
    <cfRule type="expression" dxfId="172" priority="184">
      <formula>AND(V$9&gt;=14/24,V$9&lt;20/24)</formula>
    </cfRule>
    <cfRule type="expression" dxfId="171" priority="185">
      <formula>AND(V$9&gt;=8/24,V$9&lt;14/24)</formula>
    </cfRule>
    <cfRule type="expression" dxfId="170" priority="186">
      <formula>V$9&lt;8/24</formula>
    </cfRule>
  </conditionalFormatting>
  <conditionalFormatting sqref="V46:AA47 AB48:AF54">
    <cfRule type="expression" dxfId="169" priority="182">
      <formula>V46&gt;$AG46</formula>
    </cfRule>
  </conditionalFormatting>
  <conditionalFormatting sqref="M43:R54 S46:U54 V48:AA54">
    <cfRule type="expression" dxfId="168" priority="178">
      <formula>M$9&gt;=20/24</formula>
    </cfRule>
    <cfRule type="expression" dxfId="167" priority="179">
      <formula>AND(M$9&gt;=14/24,M$9&lt;20/24)</formula>
    </cfRule>
    <cfRule type="expression" dxfId="166" priority="180">
      <formula>AND(M$9&gt;=8/24,M$9&lt;14/24)</formula>
    </cfRule>
    <cfRule type="expression" dxfId="165" priority="181">
      <formula>M$9&lt;8/24</formula>
    </cfRule>
  </conditionalFormatting>
  <conditionalFormatting sqref="M43:R54 S46:U54 V48:AA54">
    <cfRule type="expression" dxfId="164" priority="177">
      <formula>M43&gt;$AG43</formula>
    </cfRule>
  </conditionalFormatting>
  <conditionalFormatting sqref="M27:AF27">
    <cfRule type="expression" dxfId="163" priority="173">
      <formula>M$9&gt;=20/24</formula>
    </cfRule>
    <cfRule type="expression" dxfId="162" priority="174">
      <formula>AND(M$9&gt;=14/24,M$9&lt;20/24)</formula>
    </cfRule>
    <cfRule type="expression" dxfId="161" priority="175">
      <formula>AND(M$9&gt;=8/24,M$9&lt;14/24)</formula>
    </cfRule>
    <cfRule type="expression" dxfId="160" priority="176">
      <formula>M$9&lt;8/24</formula>
    </cfRule>
  </conditionalFormatting>
  <conditionalFormatting sqref="C11:D14 C16:L16 C18:L22 C17:AF17 C23:AF23 C24:L32">
    <cfRule type="expression" dxfId="159" priority="169">
      <formula>C$9&gt;=20/24</formula>
    </cfRule>
    <cfRule type="expression" dxfId="158" priority="170">
      <formula>AND(C$9&gt;=14/24,C$9&lt;20/24)</formula>
    </cfRule>
    <cfRule type="expression" dxfId="157" priority="171">
      <formula>AND(C$9&gt;=8/24,C$9&lt;14/24)</formula>
    </cfRule>
    <cfRule type="expression" dxfId="156" priority="172">
      <formula>C$9&lt;8/24</formula>
    </cfRule>
  </conditionalFormatting>
  <conditionalFormatting sqref="C33:L33">
    <cfRule type="expression" dxfId="155" priority="165">
      <formula>C$9&gt;=20/24</formula>
    </cfRule>
    <cfRule type="expression" dxfId="154" priority="166">
      <formula>AND(C$9&gt;=14/24,C$9&lt;20/24)</formula>
    </cfRule>
    <cfRule type="expression" dxfId="153" priority="167">
      <formula>AND(C$9&gt;=8/24,C$9&lt;14/24)</formula>
    </cfRule>
    <cfRule type="expression" dxfId="152" priority="168">
      <formula>C$9&lt;8/24</formula>
    </cfRule>
  </conditionalFormatting>
  <conditionalFormatting sqref="C18:L22 C17:AF17 C23:AF23 C24:L33">
    <cfRule type="expression" dxfId="151" priority="164">
      <formula>C17&gt;$AG17</formula>
    </cfRule>
  </conditionalFormatting>
  <conditionalFormatting sqref="C35:L35">
    <cfRule type="expression" dxfId="150" priority="160">
      <formula>C$9&gt;=20/24</formula>
    </cfRule>
    <cfRule type="expression" dxfId="149" priority="161">
      <formula>AND(C$9&gt;=14/24,C$9&lt;20/24)</formula>
    </cfRule>
    <cfRule type="expression" dxfId="148" priority="162">
      <formula>AND(C$9&gt;=8/24,C$9&lt;14/24)</formula>
    </cfRule>
    <cfRule type="expression" dxfId="147" priority="163">
      <formula>C$9&lt;8/24</formula>
    </cfRule>
  </conditionalFormatting>
  <conditionalFormatting sqref="C15:D15">
    <cfRule type="expression" dxfId="146" priority="156">
      <formula>C$9&gt;=20/24</formula>
    </cfRule>
    <cfRule type="expression" dxfId="145" priority="157">
      <formula>AND(C$9&gt;=14/24,C$9&lt;20/24)</formula>
    </cfRule>
    <cfRule type="expression" dxfId="144" priority="158">
      <formula>AND(C$9&gt;=8/24,C$9&lt;14/24)</formula>
    </cfRule>
    <cfRule type="expression" dxfId="143" priority="159">
      <formula>C$9&lt;8/24</formula>
    </cfRule>
  </conditionalFormatting>
  <conditionalFormatting sqref="C34:L34">
    <cfRule type="expression" dxfId="142" priority="152">
      <formula>C$9&gt;=20/24</formula>
    </cfRule>
    <cfRule type="expression" dxfId="141" priority="153">
      <formula>AND(C$9&gt;=14/24,C$9&lt;20/24)</formula>
    </cfRule>
    <cfRule type="expression" dxfId="140" priority="154">
      <formula>AND(C$9&gt;=8/24,C$9&lt;14/24)</formula>
    </cfRule>
    <cfRule type="expression" dxfId="139" priority="155">
      <formula>C$9&lt;8/24</formula>
    </cfRule>
  </conditionalFormatting>
  <conditionalFormatting sqref="C34:L34">
    <cfRule type="expression" dxfId="138" priority="151">
      <formula>C34&gt;$AG34</formula>
    </cfRule>
  </conditionalFormatting>
  <conditionalFormatting sqref="C44:D45">
    <cfRule type="expression" dxfId="137" priority="147">
      <formula>C$9&gt;=20/24</formula>
    </cfRule>
    <cfRule type="expression" dxfId="136" priority="148">
      <formula>AND(C$9&gt;=14/24,C$9&lt;20/24)</formula>
    </cfRule>
    <cfRule type="expression" dxfId="135" priority="149">
      <formula>AND(C$9&gt;=8/24,C$9&lt;14/24)</formula>
    </cfRule>
    <cfRule type="expression" dxfId="134" priority="150">
      <formula>C$9&lt;8/24</formula>
    </cfRule>
  </conditionalFormatting>
  <conditionalFormatting sqref="C43:D43">
    <cfRule type="expression" dxfId="133" priority="143">
      <formula>C$9&gt;=20/24</formula>
    </cfRule>
    <cfRule type="expression" dxfId="132" priority="144">
      <formula>AND(C$9&gt;=14/24,C$9&lt;20/24)</formula>
    </cfRule>
    <cfRule type="expression" dxfId="131" priority="145">
      <formula>AND(C$9&gt;=8/24,C$9&lt;14/24)</formula>
    </cfRule>
    <cfRule type="expression" dxfId="130" priority="146">
      <formula>C$9&lt;8/24</formula>
    </cfRule>
  </conditionalFormatting>
  <conditionalFormatting sqref="C43:D45">
    <cfRule type="expression" dxfId="129" priority="142">
      <formula>C43&gt;$AG43</formula>
    </cfRule>
  </conditionalFormatting>
  <conditionalFormatting sqref="C68:L70">
    <cfRule type="expression" dxfId="128" priority="138">
      <formula>C$9&gt;=20/24</formula>
    </cfRule>
    <cfRule type="expression" dxfId="127" priority="139">
      <formula>AND(C$9&gt;=14/24,C$9&lt;20/24)</formula>
    </cfRule>
    <cfRule type="expression" dxfId="126" priority="140">
      <formula>AND(C$9&gt;=8/24,C$9&lt;14/24)</formula>
    </cfRule>
    <cfRule type="expression" dxfId="125" priority="141">
      <formula>C$9&lt;8/24</formula>
    </cfRule>
  </conditionalFormatting>
  <conditionalFormatting sqref="C46:D47">
    <cfRule type="expression" dxfId="124" priority="137">
      <formula>C46&gt;$AG46</formula>
    </cfRule>
  </conditionalFormatting>
  <conditionalFormatting sqref="C48:E54 F49:L54">
    <cfRule type="expression" dxfId="123" priority="133">
      <formula>C$9&gt;=20/24</formula>
    </cfRule>
    <cfRule type="expression" dxfId="122" priority="134">
      <formula>AND(C$9&gt;=14/24,C$9&lt;20/24)</formula>
    </cfRule>
    <cfRule type="expression" dxfId="121" priority="135">
      <formula>AND(C$9&gt;=8/24,C$9&lt;14/24)</formula>
    </cfRule>
    <cfRule type="expression" dxfId="120" priority="136">
      <formula>C$9&lt;8/24</formula>
    </cfRule>
  </conditionalFormatting>
  <conditionalFormatting sqref="C48:E54 F49:L54">
    <cfRule type="expression" dxfId="119" priority="132">
      <formula>C48&gt;$AG48</formula>
    </cfRule>
  </conditionalFormatting>
  <conditionalFormatting sqref="X44:X45">
    <cfRule type="expression" dxfId="118" priority="128">
      <formula>X$9&gt;=20/24</formula>
    </cfRule>
    <cfRule type="expression" dxfId="117" priority="129">
      <formula>AND(X$9&gt;=14/24,X$9&lt;20/24)</formula>
    </cfRule>
    <cfRule type="expression" dxfId="116" priority="130">
      <formula>AND(X$9&gt;=8/24,X$9&lt;14/24)</formula>
    </cfRule>
    <cfRule type="expression" dxfId="115" priority="131">
      <formula>X$9&lt;8/24</formula>
    </cfRule>
  </conditionalFormatting>
  <conditionalFormatting sqref="X43">
    <cfRule type="expression" dxfId="114" priority="124">
      <formula>X$9&gt;=20/24</formula>
    </cfRule>
    <cfRule type="expression" dxfId="113" priority="125">
      <formula>AND(X$9&gt;=14/24,X$9&lt;20/24)</formula>
    </cfRule>
    <cfRule type="expression" dxfId="112" priority="126">
      <formula>AND(X$9&gt;=8/24,X$9&lt;14/24)</formula>
    </cfRule>
    <cfRule type="expression" dxfId="111" priority="127">
      <formula>X$9&lt;8/24</formula>
    </cfRule>
  </conditionalFormatting>
  <conditionalFormatting sqref="X43:X45">
    <cfRule type="expression" dxfId="110" priority="123">
      <formula>X43&gt;$AG43</formula>
    </cfRule>
  </conditionalFormatting>
  <conditionalFormatting sqref="B99 B11 B78:AF78 B87:AF87 B101:B106">
    <cfRule type="expression" dxfId="109" priority="119">
      <formula>B$9&gt;=20/24</formula>
    </cfRule>
    <cfRule type="expression" dxfId="108" priority="120">
      <formula>AND(B$9&gt;=14/24,B$9&lt;20/24)</formula>
    </cfRule>
    <cfRule type="expression" dxfId="107" priority="121">
      <formula>AND(B$9&gt;=8/24,B$9&lt;14/24)</formula>
    </cfRule>
    <cfRule type="expression" dxfId="106" priority="122">
      <formula>B$9&lt;8/24</formula>
    </cfRule>
  </conditionalFormatting>
  <conditionalFormatting sqref="B37">
    <cfRule type="expression" dxfId="105" priority="115">
      <formula>B$9&gt;=20/24</formula>
    </cfRule>
    <cfRule type="expression" dxfId="104" priority="116">
      <formula>AND(B$9&gt;=14/24,B$9&lt;20/24)</formula>
    </cfRule>
    <cfRule type="expression" dxfId="103" priority="117">
      <formula>AND(B$9&gt;=8/24,B$9&lt;14/24)</formula>
    </cfRule>
    <cfRule type="expression" dxfId="102" priority="118">
      <formula>B$9&lt;8/24</formula>
    </cfRule>
  </conditionalFormatting>
  <conditionalFormatting sqref="B37 B11">
    <cfRule type="expression" dxfId="101" priority="114">
      <formula>B11&gt;$AG11</formula>
    </cfRule>
  </conditionalFormatting>
  <conditionalFormatting sqref="B89">
    <cfRule type="expression" dxfId="100" priority="110">
      <formula>B$9&gt;=20/24</formula>
    </cfRule>
    <cfRule type="expression" dxfId="99" priority="111">
      <formula>AND(B$9&gt;=14/24,B$9&lt;20/24)</formula>
    </cfRule>
    <cfRule type="expression" dxfId="98" priority="112">
      <formula>AND(B$9&gt;=8/24,B$9&lt;14/24)</formula>
    </cfRule>
    <cfRule type="expression" dxfId="97" priority="113">
      <formula>B$9&lt;8/24</formula>
    </cfRule>
  </conditionalFormatting>
  <conditionalFormatting sqref="B44:B45 B36 B61">
    <cfRule type="expression" dxfId="96" priority="106">
      <formula>B$9&gt;=20/24</formula>
    </cfRule>
    <cfRule type="expression" dxfId="95" priority="107">
      <formula>AND(B$9&gt;=14/24,B$9&lt;20/24)</formula>
    </cfRule>
    <cfRule type="expression" dxfId="94" priority="108">
      <formula>AND(B$9&gt;=8/24,B$9&lt;14/24)</formula>
    </cfRule>
    <cfRule type="expression" dxfId="93" priority="109">
      <formula>B$9&lt;8/24</formula>
    </cfRule>
  </conditionalFormatting>
  <conditionalFormatting sqref="B43">
    <cfRule type="expression" dxfId="92" priority="102">
      <formula>B$9&gt;=20/24</formula>
    </cfRule>
    <cfRule type="expression" dxfId="91" priority="103">
      <formula>AND(B$9&gt;=14/24,B$9&lt;20/24)</formula>
    </cfRule>
    <cfRule type="expression" dxfId="90" priority="104">
      <formula>AND(B$9&gt;=8/24,B$9&lt;14/24)</formula>
    </cfRule>
    <cfRule type="expression" dxfId="89" priority="105">
      <formula>B$9&lt;8/24</formula>
    </cfRule>
  </conditionalFormatting>
  <conditionalFormatting sqref="B43:B45 B36">
    <cfRule type="expression" dxfId="88" priority="101">
      <formula>B36&gt;$AG36</formula>
    </cfRule>
  </conditionalFormatting>
  <conditionalFormatting sqref="B90:B96 B12:B14 B16 B18:B22 B24:B26 B57:B60 B62:B71 B73:B77 B79:AF79 B86 C60:AG60 C77:AG77 B88:AF88 B28:B32">
    <cfRule type="expression" dxfId="87" priority="97">
      <formula>B$9&gt;=20/24</formula>
    </cfRule>
    <cfRule type="expression" dxfId="86" priority="98">
      <formula>AND(B$9&gt;=14/24,B$9&lt;20/24)</formula>
    </cfRule>
    <cfRule type="expression" dxfId="85" priority="99">
      <formula>AND(B$9&gt;=8/24,B$9&lt;14/24)</formula>
    </cfRule>
    <cfRule type="expression" dxfId="84" priority="100">
      <formula>B$9&lt;8/24</formula>
    </cfRule>
  </conditionalFormatting>
  <conditionalFormatting sqref="B33">
    <cfRule type="expression" dxfId="83" priority="93">
      <formula>B$9&gt;=20/24</formula>
    </cfRule>
    <cfRule type="expression" dxfId="82" priority="94">
      <formula>AND(B$9&gt;=14/24,B$9&lt;20/24)</formula>
    </cfRule>
    <cfRule type="expression" dxfId="81" priority="95">
      <formula>AND(B$9&gt;=8/24,B$9&lt;14/24)</formula>
    </cfRule>
    <cfRule type="expression" dxfId="80" priority="96">
      <formula>B$9&lt;8/24</formula>
    </cfRule>
  </conditionalFormatting>
  <conditionalFormatting sqref="B46:B47 B18:B22 B55:B60 B38:AG38 C56:AG56 C60:AG60 B24:B33">
    <cfRule type="expression" dxfId="79" priority="92">
      <formula>B18&gt;$AG18</formula>
    </cfRule>
  </conditionalFormatting>
  <conditionalFormatting sqref="B35">
    <cfRule type="expression" dxfId="78" priority="88">
      <formula>B$9&gt;=20/24</formula>
    </cfRule>
    <cfRule type="expression" dxfId="77" priority="89">
      <formula>AND(B$9&gt;=14/24,B$9&lt;20/24)</formula>
    </cfRule>
    <cfRule type="expression" dxfId="76" priority="90">
      <formula>AND(B$9&gt;=8/24,B$9&lt;14/24)</formula>
    </cfRule>
    <cfRule type="expression" dxfId="75" priority="91">
      <formula>B$9&lt;8/24</formula>
    </cfRule>
  </conditionalFormatting>
  <conditionalFormatting sqref="B15">
    <cfRule type="expression" dxfId="74" priority="84">
      <formula>B$9&gt;=20/24</formula>
    </cfRule>
    <cfRule type="expression" dxfId="73" priority="85">
      <formula>AND(B$9&gt;=14/24,B$9&lt;20/24)</formula>
    </cfRule>
    <cfRule type="expression" dxfId="72" priority="86">
      <formula>AND(B$9&gt;=8/24,B$9&lt;14/24)</formula>
    </cfRule>
    <cfRule type="expression" dxfId="71" priority="87">
      <formula>B$9&lt;8/24</formula>
    </cfRule>
  </conditionalFormatting>
  <conditionalFormatting sqref="B34">
    <cfRule type="expression" dxfId="70" priority="80">
      <formula>B$9&gt;=20/24</formula>
    </cfRule>
    <cfRule type="expression" dxfId="69" priority="81">
      <formula>AND(B$9&gt;=14/24,B$9&lt;20/24)</formula>
    </cfRule>
    <cfRule type="expression" dxfId="68" priority="82">
      <formula>AND(B$9&gt;=8/24,B$9&lt;14/24)</formula>
    </cfRule>
    <cfRule type="expression" dxfId="67" priority="83">
      <formula>B$9&lt;8/24</formula>
    </cfRule>
  </conditionalFormatting>
  <conditionalFormatting sqref="B34">
    <cfRule type="expression" dxfId="66" priority="79">
      <formula>B34&gt;$AG34</formula>
    </cfRule>
  </conditionalFormatting>
  <conditionalFormatting sqref="B48:B54">
    <cfRule type="expression" dxfId="65" priority="75">
      <formula>B$9&gt;=20/24</formula>
    </cfRule>
    <cfRule type="expression" dxfId="64" priority="76">
      <formula>AND(B$9&gt;=14/24,B$9&lt;20/24)</formula>
    </cfRule>
    <cfRule type="expression" dxfId="63" priority="77">
      <formula>AND(B$9&gt;=8/24,B$9&lt;14/24)</formula>
    </cfRule>
    <cfRule type="expression" dxfId="62" priority="78">
      <formula>B$9&lt;8/24</formula>
    </cfRule>
  </conditionalFormatting>
  <conditionalFormatting sqref="B48:B54">
    <cfRule type="expression" dxfId="61" priority="74">
      <formula>B48&gt;$AG48</formula>
    </cfRule>
  </conditionalFormatting>
  <conditionalFormatting sqref="B27">
    <cfRule type="expression" dxfId="60" priority="70">
      <formula>B$9&gt;=20/24</formula>
    </cfRule>
    <cfRule type="expression" dxfId="59" priority="71">
      <formula>AND(B$9&gt;=14/24,B$9&lt;20/24)</formula>
    </cfRule>
    <cfRule type="expression" dxfId="58" priority="72">
      <formula>AND(B$9&gt;=8/24,B$9&lt;14/24)</formula>
    </cfRule>
    <cfRule type="expression" dxfId="57" priority="73">
      <formula>B$9&lt;8/24</formula>
    </cfRule>
  </conditionalFormatting>
  <conditionalFormatting sqref="B17 B23">
    <cfRule type="expression" dxfId="56" priority="66">
      <formula>B$9&gt;=20/24</formula>
    </cfRule>
    <cfRule type="expression" dxfId="55" priority="67">
      <formula>AND(B$9&gt;=14/24,B$9&lt;20/24)</formula>
    </cfRule>
    <cfRule type="expression" dxfId="54" priority="68">
      <formula>AND(B$9&gt;=8/24,B$9&lt;14/24)</formula>
    </cfRule>
    <cfRule type="expression" dxfId="53" priority="69">
      <formula>B$9&lt;8/24</formula>
    </cfRule>
  </conditionalFormatting>
  <conditionalFormatting sqref="B17 B23">
    <cfRule type="expression" dxfId="52" priority="65">
      <formula>B17&gt;$AG17</formula>
    </cfRule>
  </conditionalFormatting>
  <conditionalFormatting sqref="A34">
    <cfRule type="expression" dxfId="51" priority="64">
      <formula>$AH34=0</formula>
    </cfRule>
  </conditionalFormatting>
  <conditionalFormatting sqref="B72:AF72">
    <cfRule type="expression" dxfId="50" priority="60">
      <formula>B$9&gt;=20/24</formula>
    </cfRule>
    <cfRule type="expression" dxfId="49" priority="61">
      <formula>AND(B$9&gt;=14/24,B$9&lt;20/24)</formula>
    </cfRule>
    <cfRule type="expression" dxfId="48" priority="62">
      <formula>AND(B$9&gt;=8/24,B$9&lt;14/24)</formula>
    </cfRule>
    <cfRule type="expression" dxfId="47" priority="63">
      <formula>B$9&lt;8/24</formula>
    </cfRule>
  </conditionalFormatting>
  <conditionalFormatting sqref="B81:AF85">
    <cfRule type="expression" dxfId="46" priority="56">
      <formula>B$9&gt;=20/24</formula>
    </cfRule>
    <cfRule type="expression" dxfId="45" priority="57">
      <formula>AND(B$9&gt;=14/24,B$9&lt;20/24)</formula>
    </cfRule>
    <cfRule type="expression" dxfId="44" priority="58">
      <formula>AND(B$9&gt;=8/24,B$9&lt;14/24)</formula>
    </cfRule>
    <cfRule type="expression" dxfId="43" priority="59">
      <formula>B$9&lt;8/24</formula>
    </cfRule>
  </conditionalFormatting>
  <conditionalFormatting sqref="AL35 AL7:AL30 AL32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C39:AF41">
    <cfRule type="expression" dxfId="42" priority="52">
      <formula>C$9&gt;=20/24</formula>
    </cfRule>
    <cfRule type="expression" dxfId="41" priority="53">
      <formula>AND(C$9&gt;=14/24,C$9&lt;20/24)</formula>
    </cfRule>
    <cfRule type="expression" dxfId="40" priority="54">
      <formula>AND(C$9&gt;=8/24,C$9&lt;14/24)</formula>
    </cfRule>
    <cfRule type="expression" dxfId="39" priority="55">
      <formula>C$9&lt;8/24</formula>
    </cfRule>
  </conditionalFormatting>
  <conditionalFormatting sqref="C39:AF41">
    <cfRule type="expression" dxfId="38" priority="51">
      <formula>C39&gt;$AG39</formula>
    </cfRule>
  </conditionalFormatting>
  <conditionalFormatting sqref="B39:B42 C42:AG42">
    <cfRule type="expression" dxfId="37" priority="47">
      <formula>B$9&gt;=20/24</formula>
    </cfRule>
    <cfRule type="expression" dxfId="36" priority="48">
      <formula>AND(B$9&gt;=14/24,B$9&lt;20/24)</formula>
    </cfRule>
    <cfRule type="expression" dxfId="35" priority="49">
      <formula>AND(B$9&gt;=8/24,B$9&lt;14/24)</formula>
    </cfRule>
    <cfRule type="expression" dxfId="34" priority="50">
      <formula>B$9&lt;8/24</formula>
    </cfRule>
  </conditionalFormatting>
  <conditionalFormatting sqref="B39:B42 C42:AG42">
    <cfRule type="expression" dxfId="33" priority="46">
      <formula>B39&gt;$AG39</formula>
    </cfRule>
  </conditionalFormatting>
  <conditionalFormatting sqref="C97:AF97">
    <cfRule type="expression" dxfId="32" priority="42">
      <formula>C$9&gt;=20/24</formula>
    </cfRule>
    <cfRule type="expression" dxfId="31" priority="43">
      <formula>AND(C$9&gt;=14/24,C$9&lt;20/24)</formula>
    </cfRule>
    <cfRule type="expression" dxfId="30" priority="44">
      <formula>AND(C$9&gt;=8/24,C$9&lt;14/24)</formula>
    </cfRule>
    <cfRule type="expression" dxfId="29" priority="45">
      <formula>C$9&lt;8/24</formula>
    </cfRule>
  </conditionalFormatting>
  <conditionalFormatting sqref="B97">
    <cfRule type="expression" dxfId="28" priority="38">
      <formula>B$9&gt;=20/24</formula>
    </cfRule>
    <cfRule type="expression" dxfId="27" priority="39">
      <formula>AND(B$9&gt;=14/24,B$9&lt;20/24)</formula>
    </cfRule>
    <cfRule type="expression" dxfId="26" priority="40">
      <formula>AND(B$9&gt;=8/24,B$9&lt;14/24)</formula>
    </cfRule>
    <cfRule type="expression" dxfId="25" priority="41">
      <formula>B$9&lt;8/24</formula>
    </cfRule>
  </conditionalFormatting>
  <conditionalFormatting sqref="AL31">
    <cfRule type="iconSet" priority="37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24" priority="32">
      <formula>$AH31=0</formula>
    </cfRule>
  </conditionalFormatting>
  <conditionalFormatting sqref="A80">
    <cfRule type="expression" dxfId="23" priority="30">
      <formula>$AH80=0</formula>
    </cfRule>
  </conditionalFormatting>
  <conditionalFormatting sqref="A77">
    <cfRule type="expression" dxfId="22" priority="31">
      <formula>$AH77=0</formula>
    </cfRule>
  </conditionalFormatting>
  <conditionalFormatting sqref="A107">
    <cfRule type="expression" dxfId="21" priority="21">
      <formula>$AH107=0</formula>
    </cfRule>
  </conditionalFormatting>
  <conditionalFormatting sqref="C100:AF100">
    <cfRule type="expression" dxfId="20" priority="6">
      <formula>C$9&gt;=20/24</formula>
    </cfRule>
    <cfRule type="expression" dxfId="19" priority="7">
      <formula>AND(C$9&gt;=14/24,C$9&lt;20/24)</formula>
    </cfRule>
    <cfRule type="expression" dxfId="18" priority="8">
      <formula>AND(C$9&gt;=8/24,C$9&lt;14/24)</formula>
    </cfRule>
    <cfRule type="expression" dxfId="17" priority="9">
      <formula>C$9&lt;8/24</formula>
    </cfRule>
  </conditionalFormatting>
  <conditionalFormatting sqref="A100">
    <cfRule type="expression" dxfId="16" priority="5">
      <formula>$AH100=0</formula>
    </cfRule>
  </conditionalFormatting>
  <conditionalFormatting sqref="B100">
    <cfRule type="expression" dxfId="15" priority="1">
      <formula>B$9&gt;=20/24</formula>
    </cfRule>
    <cfRule type="expression" dxfId="14" priority="2">
      <formula>AND(B$9&gt;=14/24,B$9&lt;20/24)</formula>
    </cfRule>
    <cfRule type="expression" dxfId="13" priority="3">
      <formula>AND(B$9&gt;=8/24,B$9&lt;14/24)</formula>
    </cfRule>
    <cfRule type="expression" dxfId="12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" id="{2CBAE222-87EC-4960-A9C8-87834348851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4" id="{6DE44AE7-178D-4F93-B8ED-58EB9ECC475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5" id="{3CE48F5B-961A-4223-B26A-DF0A553DDD7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6" id="{87C71F81-ABD4-4346-9764-A3F8B4F5F3A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26" id="{5733DB27-E306-4071-A256-E1C5E1D8388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7" id="{07692C76-E964-48EF-BC29-427569AC15B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8" id="{354701E6-285C-4AF3-B526-234B41CE389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9" id="{CD518CAA-2AEF-494F-B74F-E376EE1A311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C107:AF107</xm:sqref>
        </x14:conditionalFormatting>
        <x14:conditionalFormatting xmlns:xm="http://schemas.microsoft.com/office/excel/2006/main">
          <x14:cfRule type="expression" priority="22" id="{1C08A27E-C641-4143-BE0E-5642CBFB8A5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682EF37D-D695-45F7-A6F8-7DEC9AE76E2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id="{26692629-C45A-4B8A-B66A-37C0004A11D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" id="{BD9D1AA9-2090-4530-8D60-3B043E9D43D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Sample_new (3)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Asoj1</vt:lpstr>
      <vt:lpstr>Sheet3</vt:lpstr>
      <vt:lpstr>Sample_new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2023-03-15T08:33:04Z</dcterms:modified>
</cp:coreProperties>
</file>